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nswgov.sharepoint.com/sites/GANSW/D1/05 Current Scheme List/"/>
    </mc:Choice>
  </mc:AlternateContent>
  <xr:revisionPtr revIDLastSave="0" documentId="8_{19E05034-53AB-4BE5-A0A2-93E50F5FF2FA}" xr6:coauthVersionLast="47" xr6:coauthVersionMax="47" xr10:uidLastSave="{00000000-0000-0000-0000-000000000000}"/>
  <bookViews>
    <workbookView xWindow="28680" yWindow="-120" windowWidth="51840" windowHeight="21840" xr2:uid="{26DD120D-1208-4273-938B-94B3EF173B6F}"/>
  </bookViews>
  <sheets>
    <sheet name="Scheme Review Report (Apr 2023)" sheetId="1" r:id="rId1"/>
  </sheets>
  <definedNames>
    <definedName name="_xlnm._FilterDatabase" localSheetId="0" hidden="1">'Scheme Review Report (Apr 2023)'!$A$8:$AC$278</definedName>
    <definedName name="_xlnm.Print_Area" localSheetId="0">'Scheme Review Report (Apr 2023)'!$A$1:$AC$277</definedName>
    <definedName name="_xlnm.Print_Titles" localSheetId="0">'Scheme Review Report (Apr 2023)'!$1:$8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4" i="1" l="1"/>
  <c r="V215" i="1"/>
  <c r="W215" i="1"/>
  <c r="V214" i="1"/>
  <c r="U25" i="1"/>
  <c r="U269" i="1"/>
  <c r="W47" i="1" l="1"/>
  <c r="V47" i="1"/>
  <c r="W258" i="1"/>
  <c r="V258" i="1"/>
  <c r="U47" i="1"/>
  <c r="U258" i="1"/>
  <c r="V133" i="1" l="1"/>
  <c r="W277" i="1" l="1"/>
  <c r="V277" i="1"/>
  <c r="U277" i="1"/>
  <c r="W276" i="1"/>
  <c r="V276" i="1"/>
  <c r="U276" i="1"/>
  <c r="W275" i="1"/>
  <c r="V275" i="1"/>
  <c r="U275" i="1"/>
  <c r="W274" i="1"/>
  <c r="V274" i="1"/>
  <c r="U274" i="1"/>
  <c r="W271" i="1"/>
  <c r="V271" i="1"/>
  <c r="U271" i="1"/>
  <c r="W270" i="1"/>
  <c r="V270" i="1"/>
  <c r="U270" i="1"/>
  <c r="W267" i="1"/>
  <c r="V267" i="1"/>
  <c r="U267" i="1"/>
  <c r="W266" i="1"/>
  <c r="V266" i="1"/>
  <c r="U266" i="1"/>
  <c r="W265" i="1"/>
  <c r="V265" i="1"/>
  <c r="U265" i="1"/>
  <c r="W264" i="1"/>
  <c r="V264" i="1"/>
  <c r="U264" i="1"/>
  <c r="W263" i="1"/>
  <c r="V263" i="1"/>
  <c r="U263" i="1"/>
  <c r="W262" i="1"/>
  <c r="V262" i="1"/>
  <c r="U262" i="1"/>
  <c r="V261" i="1"/>
  <c r="U261" i="1"/>
  <c r="W260" i="1"/>
  <c r="V260" i="1"/>
  <c r="U260" i="1"/>
  <c r="W259" i="1"/>
  <c r="V259" i="1"/>
  <c r="U259" i="1"/>
  <c r="W257" i="1"/>
  <c r="V257" i="1"/>
  <c r="U257" i="1"/>
  <c r="W256" i="1"/>
  <c r="V256" i="1"/>
  <c r="U256" i="1"/>
  <c r="W255" i="1"/>
  <c r="V255" i="1"/>
  <c r="U255" i="1"/>
  <c r="W253" i="1"/>
  <c r="V253" i="1"/>
  <c r="U253" i="1"/>
  <c r="W252" i="1"/>
  <c r="V252" i="1"/>
  <c r="U252" i="1"/>
  <c r="W251" i="1"/>
  <c r="V251" i="1"/>
  <c r="U251" i="1"/>
  <c r="W249" i="1"/>
  <c r="V249" i="1"/>
  <c r="U249" i="1"/>
  <c r="W248" i="1"/>
  <c r="V248" i="1"/>
  <c r="U248" i="1"/>
  <c r="W247" i="1"/>
  <c r="V247" i="1"/>
  <c r="U247" i="1"/>
  <c r="W246" i="1"/>
  <c r="V246" i="1"/>
  <c r="W244" i="1"/>
  <c r="V244" i="1"/>
  <c r="U244" i="1"/>
  <c r="W243" i="1"/>
  <c r="V243" i="1"/>
  <c r="U243" i="1"/>
  <c r="W242" i="1"/>
  <c r="V242" i="1"/>
  <c r="U242" i="1"/>
  <c r="W241" i="1"/>
  <c r="V241" i="1"/>
  <c r="U241" i="1"/>
  <c r="W239" i="1"/>
  <c r="V239" i="1"/>
  <c r="U239" i="1"/>
  <c r="W238" i="1"/>
  <c r="V238" i="1"/>
  <c r="U238" i="1"/>
  <c r="W236" i="1"/>
  <c r="V236" i="1"/>
  <c r="U236" i="1"/>
  <c r="W235" i="1"/>
  <c r="V235" i="1"/>
  <c r="U235" i="1"/>
  <c r="W234" i="1"/>
  <c r="V234" i="1"/>
  <c r="U234" i="1"/>
  <c r="W233" i="1"/>
  <c r="V233" i="1"/>
  <c r="U233" i="1"/>
  <c r="W232" i="1"/>
  <c r="V232" i="1"/>
  <c r="U232" i="1"/>
  <c r="W231" i="1"/>
  <c r="V231" i="1"/>
  <c r="U231" i="1"/>
  <c r="W230" i="1"/>
  <c r="V230" i="1"/>
  <c r="U230" i="1"/>
  <c r="W229" i="1"/>
  <c r="V229" i="1"/>
  <c r="U229" i="1"/>
  <c r="W228" i="1"/>
  <c r="V228" i="1"/>
  <c r="U228" i="1"/>
  <c r="W226" i="1"/>
  <c r="V226" i="1"/>
  <c r="U226" i="1"/>
  <c r="W268" i="1"/>
  <c r="V268" i="1"/>
  <c r="U268" i="1"/>
  <c r="W225" i="1"/>
  <c r="V225" i="1"/>
  <c r="U225" i="1"/>
  <c r="W224" i="1"/>
  <c r="V224" i="1"/>
  <c r="U224" i="1"/>
  <c r="W223" i="1"/>
  <c r="V223" i="1"/>
  <c r="U223" i="1"/>
  <c r="W222" i="1"/>
  <c r="V222" i="1"/>
  <c r="U222" i="1"/>
  <c r="W221" i="1"/>
  <c r="V221" i="1"/>
  <c r="U221" i="1"/>
  <c r="W220" i="1"/>
  <c r="V220" i="1"/>
  <c r="U220" i="1"/>
  <c r="W219" i="1"/>
  <c r="V219" i="1"/>
  <c r="U219" i="1"/>
  <c r="W218" i="1"/>
  <c r="V218" i="1"/>
  <c r="U218" i="1"/>
  <c r="W217" i="1"/>
  <c r="V217" i="1"/>
  <c r="U217" i="1"/>
  <c r="W216" i="1"/>
  <c r="V216" i="1"/>
  <c r="U216" i="1"/>
  <c r="U215" i="1"/>
  <c r="W214" i="1"/>
  <c r="W213" i="1"/>
  <c r="V213" i="1"/>
  <c r="U213" i="1"/>
  <c r="W212" i="1"/>
  <c r="V212" i="1"/>
  <c r="U212" i="1"/>
  <c r="W211" i="1"/>
  <c r="V211" i="1"/>
  <c r="U211" i="1"/>
  <c r="W210" i="1"/>
  <c r="V210" i="1"/>
  <c r="U210" i="1"/>
  <c r="W209" i="1"/>
  <c r="V209" i="1"/>
  <c r="U209" i="1"/>
  <c r="W208" i="1"/>
  <c r="V208" i="1"/>
  <c r="U208" i="1"/>
  <c r="U205" i="1"/>
  <c r="W207" i="1"/>
  <c r="V207" i="1"/>
  <c r="U207" i="1"/>
  <c r="W206" i="1"/>
  <c r="V206" i="1"/>
  <c r="U206" i="1"/>
  <c r="W204" i="1"/>
  <c r="V204" i="1"/>
  <c r="U204" i="1"/>
  <c r="W203" i="1"/>
  <c r="V203" i="1"/>
  <c r="U203" i="1"/>
  <c r="W202" i="1"/>
  <c r="V202" i="1"/>
  <c r="U202" i="1"/>
  <c r="W201" i="1"/>
  <c r="V201" i="1"/>
  <c r="U201" i="1"/>
  <c r="W200" i="1"/>
  <c r="V200" i="1"/>
  <c r="U200" i="1"/>
  <c r="W199" i="1"/>
  <c r="V199" i="1"/>
  <c r="U199" i="1"/>
  <c r="W198" i="1"/>
  <c r="V198" i="1"/>
  <c r="U198" i="1"/>
  <c r="W197" i="1"/>
  <c r="V197" i="1"/>
  <c r="U197" i="1"/>
  <c r="W196" i="1"/>
  <c r="V196" i="1"/>
  <c r="U196" i="1"/>
  <c r="W194" i="1"/>
  <c r="V194" i="1"/>
  <c r="U194" i="1"/>
  <c r="W192" i="1"/>
  <c r="V192" i="1"/>
  <c r="U192" i="1"/>
  <c r="W191" i="1"/>
  <c r="V191" i="1"/>
  <c r="U191" i="1"/>
  <c r="W190" i="1"/>
  <c r="V190" i="1"/>
  <c r="U190" i="1"/>
  <c r="W189" i="1"/>
  <c r="V189" i="1"/>
  <c r="U189" i="1"/>
  <c r="W188" i="1"/>
  <c r="V188" i="1"/>
  <c r="U188" i="1"/>
  <c r="W187" i="1"/>
  <c r="V187" i="1"/>
  <c r="U187" i="1"/>
  <c r="W186" i="1"/>
  <c r="V186" i="1"/>
  <c r="U186" i="1"/>
  <c r="W185" i="1"/>
  <c r="V185" i="1"/>
  <c r="U185" i="1"/>
  <c r="W184" i="1"/>
  <c r="V184" i="1"/>
  <c r="U184" i="1"/>
  <c r="W183" i="1"/>
  <c r="V183" i="1"/>
  <c r="U183" i="1"/>
  <c r="W182" i="1"/>
  <c r="V182" i="1"/>
  <c r="U182" i="1"/>
  <c r="W181" i="1"/>
  <c r="V181" i="1"/>
  <c r="U181" i="1"/>
  <c r="W180" i="1"/>
  <c r="V180" i="1"/>
  <c r="U180" i="1"/>
  <c r="W179" i="1"/>
  <c r="V179" i="1"/>
  <c r="W178" i="1"/>
  <c r="V178" i="1"/>
  <c r="U178" i="1"/>
  <c r="W177" i="1"/>
  <c r="V177" i="1"/>
  <c r="U177" i="1"/>
  <c r="W176" i="1"/>
  <c r="V176" i="1"/>
  <c r="U176" i="1"/>
  <c r="W174" i="1"/>
  <c r="V174" i="1"/>
  <c r="U174" i="1"/>
  <c r="W173" i="1"/>
  <c r="V173" i="1"/>
  <c r="U173" i="1"/>
  <c r="W172" i="1"/>
  <c r="V172" i="1"/>
  <c r="U172" i="1"/>
  <c r="W171" i="1"/>
  <c r="V171" i="1"/>
  <c r="U171" i="1"/>
  <c r="W170" i="1"/>
  <c r="V170" i="1"/>
  <c r="U170" i="1"/>
  <c r="W167" i="1"/>
  <c r="V167" i="1"/>
  <c r="U167" i="1"/>
  <c r="W165" i="1"/>
  <c r="V165" i="1"/>
  <c r="U165" i="1"/>
  <c r="W164" i="1"/>
  <c r="V164" i="1"/>
  <c r="U164" i="1"/>
  <c r="W163" i="1"/>
  <c r="V163" i="1"/>
  <c r="U163" i="1"/>
  <c r="W162" i="1"/>
  <c r="V162" i="1"/>
  <c r="U162" i="1"/>
  <c r="W161" i="1"/>
  <c r="V161" i="1"/>
  <c r="U161" i="1"/>
  <c r="W160" i="1"/>
  <c r="V160" i="1"/>
  <c r="U160" i="1"/>
  <c r="W159" i="1"/>
  <c r="V159" i="1"/>
  <c r="U159" i="1"/>
  <c r="W158" i="1"/>
  <c r="V158" i="1"/>
  <c r="U158" i="1"/>
  <c r="W157" i="1"/>
  <c r="V157" i="1"/>
  <c r="U157" i="1"/>
  <c r="W156" i="1"/>
  <c r="V156" i="1"/>
  <c r="U156" i="1"/>
  <c r="W155" i="1"/>
  <c r="V155" i="1"/>
  <c r="U155" i="1"/>
  <c r="W154" i="1"/>
  <c r="V154" i="1"/>
  <c r="U154" i="1"/>
  <c r="W152" i="1"/>
  <c r="V152" i="1"/>
  <c r="U152" i="1"/>
  <c r="W151" i="1"/>
  <c r="V151" i="1"/>
  <c r="U151" i="1"/>
  <c r="W150" i="1"/>
  <c r="V150" i="1"/>
  <c r="U150" i="1"/>
  <c r="W149" i="1"/>
  <c r="V149" i="1"/>
  <c r="U149" i="1"/>
  <c r="W148" i="1"/>
  <c r="V148" i="1"/>
  <c r="U148" i="1"/>
  <c r="W146" i="1"/>
  <c r="V146" i="1"/>
  <c r="U146" i="1"/>
  <c r="U145" i="1"/>
  <c r="U144" i="1"/>
  <c r="W143" i="1"/>
  <c r="V143" i="1"/>
  <c r="U143" i="1"/>
  <c r="W142" i="1"/>
  <c r="V142" i="1"/>
  <c r="U142" i="1"/>
  <c r="W141" i="1"/>
  <c r="V141" i="1"/>
  <c r="U141" i="1"/>
  <c r="W140" i="1"/>
  <c r="V140" i="1"/>
  <c r="W139" i="1"/>
  <c r="V139" i="1"/>
  <c r="U139" i="1"/>
  <c r="W138" i="1"/>
  <c r="V138" i="1"/>
  <c r="U138" i="1"/>
  <c r="W137" i="1"/>
  <c r="V137" i="1"/>
  <c r="U137" i="1"/>
  <c r="W135" i="1"/>
  <c r="V135" i="1"/>
  <c r="U135" i="1"/>
  <c r="W134" i="1"/>
  <c r="V134" i="1"/>
  <c r="U134" i="1"/>
  <c r="U132" i="1"/>
  <c r="U129" i="1"/>
  <c r="W128" i="1"/>
  <c r="V128" i="1"/>
  <c r="U128" i="1"/>
  <c r="V127" i="1"/>
  <c r="U127" i="1"/>
  <c r="W126" i="1"/>
  <c r="V126" i="1"/>
  <c r="W125" i="1"/>
  <c r="V125" i="1"/>
  <c r="U125" i="1"/>
  <c r="W124" i="1"/>
  <c r="V124" i="1"/>
  <c r="U124" i="1"/>
  <c r="W123" i="1"/>
  <c r="V123" i="1"/>
  <c r="U123" i="1"/>
  <c r="W122" i="1"/>
  <c r="V122" i="1"/>
  <c r="U122" i="1"/>
  <c r="W121" i="1"/>
  <c r="V121" i="1"/>
  <c r="U121" i="1"/>
  <c r="W120" i="1"/>
  <c r="V120" i="1"/>
  <c r="U120" i="1"/>
  <c r="W119" i="1"/>
  <c r="V119" i="1"/>
  <c r="U119" i="1"/>
  <c r="W118" i="1"/>
  <c r="V118" i="1"/>
  <c r="U118" i="1"/>
  <c r="W117" i="1"/>
  <c r="V117" i="1"/>
  <c r="U117" i="1"/>
  <c r="W115" i="1"/>
  <c r="V115" i="1"/>
  <c r="U115" i="1"/>
  <c r="U114" i="1"/>
  <c r="W113" i="1"/>
  <c r="V113" i="1"/>
  <c r="U113" i="1"/>
  <c r="W112" i="1"/>
  <c r="V112" i="1"/>
  <c r="U112" i="1"/>
  <c r="W111" i="1"/>
  <c r="V111" i="1"/>
  <c r="U111" i="1"/>
  <c r="W110" i="1"/>
  <c r="V110" i="1"/>
  <c r="U110" i="1"/>
  <c r="W109" i="1"/>
  <c r="V109" i="1"/>
  <c r="U109" i="1"/>
  <c r="W107" i="1"/>
  <c r="V107" i="1"/>
  <c r="U107" i="1"/>
  <c r="W106" i="1"/>
  <c r="V106" i="1"/>
  <c r="U106" i="1"/>
  <c r="W105" i="1"/>
  <c r="V105" i="1"/>
  <c r="U105" i="1"/>
  <c r="V104" i="1"/>
  <c r="U104" i="1"/>
  <c r="W103" i="1"/>
  <c r="V103" i="1"/>
  <c r="U103" i="1"/>
  <c r="W102" i="1"/>
  <c r="V102" i="1"/>
  <c r="U102" i="1"/>
  <c r="W101" i="1"/>
  <c r="V101" i="1"/>
  <c r="U101" i="1"/>
  <c r="W100" i="1"/>
  <c r="V100" i="1"/>
  <c r="U100" i="1"/>
  <c r="U98" i="1"/>
  <c r="W97" i="1"/>
  <c r="V97" i="1"/>
  <c r="U97" i="1"/>
  <c r="W94" i="1"/>
  <c r="V94" i="1"/>
  <c r="U94" i="1"/>
  <c r="W93" i="1"/>
  <c r="V93" i="1"/>
  <c r="U93" i="1"/>
  <c r="W92" i="1"/>
  <c r="V92" i="1"/>
  <c r="U92" i="1"/>
  <c r="W91" i="1"/>
  <c r="V91" i="1"/>
  <c r="U91" i="1"/>
  <c r="W90" i="1"/>
  <c r="V90" i="1"/>
  <c r="U90" i="1"/>
  <c r="W89" i="1"/>
  <c r="V89" i="1"/>
  <c r="U89" i="1"/>
  <c r="W88" i="1"/>
  <c r="V88" i="1"/>
  <c r="U88" i="1"/>
  <c r="W87" i="1"/>
  <c r="V87" i="1"/>
  <c r="V86" i="1"/>
  <c r="W84" i="1"/>
  <c r="V84" i="1"/>
  <c r="U84" i="1"/>
  <c r="W83" i="1"/>
  <c r="V83" i="1"/>
  <c r="U83" i="1"/>
  <c r="W82" i="1"/>
  <c r="V82" i="1"/>
  <c r="U82" i="1"/>
  <c r="W81" i="1"/>
  <c r="V81" i="1"/>
  <c r="U81" i="1"/>
  <c r="W80" i="1"/>
  <c r="V80" i="1"/>
  <c r="U80" i="1"/>
  <c r="W79" i="1"/>
  <c r="V79" i="1"/>
  <c r="U79" i="1"/>
  <c r="W78" i="1"/>
  <c r="V78" i="1"/>
  <c r="U78" i="1"/>
  <c r="W76" i="1"/>
  <c r="V76" i="1"/>
  <c r="U76" i="1"/>
  <c r="W75" i="1"/>
  <c r="V75" i="1"/>
  <c r="U75" i="1"/>
  <c r="W74" i="1"/>
  <c r="V74" i="1"/>
  <c r="U74" i="1"/>
  <c r="W73" i="1"/>
  <c r="V73" i="1"/>
  <c r="U73" i="1"/>
  <c r="W72" i="1"/>
  <c r="V72" i="1"/>
  <c r="U72" i="1"/>
  <c r="W71" i="1"/>
  <c r="V71" i="1"/>
  <c r="U71" i="1"/>
  <c r="W70" i="1"/>
  <c r="V70" i="1"/>
  <c r="U70" i="1"/>
  <c r="W69" i="1"/>
  <c r="V69" i="1"/>
  <c r="U69" i="1"/>
  <c r="W68" i="1"/>
  <c r="V68" i="1"/>
  <c r="U68" i="1"/>
  <c r="W67" i="1"/>
  <c r="V67" i="1"/>
  <c r="U67" i="1"/>
  <c r="W66" i="1"/>
  <c r="V66" i="1"/>
  <c r="U66" i="1"/>
  <c r="W64" i="1"/>
  <c r="V64" i="1"/>
  <c r="U64" i="1"/>
  <c r="W63" i="1"/>
  <c r="V63" i="1"/>
  <c r="U63" i="1"/>
  <c r="W62" i="1"/>
  <c r="V62" i="1"/>
  <c r="U62" i="1"/>
  <c r="W61" i="1"/>
  <c r="V61" i="1"/>
  <c r="U61" i="1"/>
  <c r="W60" i="1"/>
  <c r="V60" i="1"/>
  <c r="U60" i="1"/>
  <c r="W59" i="1"/>
  <c r="V59" i="1"/>
  <c r="U59" i="1"/>
  <c r="W58" i="1"/>
  <c r="V58" i="1"/>
  <c r="U58" i="1"/>
  <c r="W57" i="1"/>
  <c r="V57" i="1"/>
  <c r="U57" i="1"/>
  <c r="W56" i="1"/>
  <c r="V56" i="1"/>
  <c r="U56" i="1"/>
  <c r="W55" i="1"/>
  <c r="V55" i="1"/>
  <c r="U55" i="1"/>
  <c r="W54" i="1"/>
  <c r="V54" i="1"/>
  <c r="U54" i="1"/>
  <c r="W53" i="1"/>
  <c r="V53" i="1"/>
  <c r="U53" i="1"/>
  <c r="W52" i="1"/>
  <c r="V52" i="1"/>
  <c r="U52" i="1"/>
  <c r="W51" i="1"/>
  <c r="V51" i="1"/>
  <c r="U51" i="1"/>
  <c r="W50" i="1"/>
  <c r="V50" i="1"/>
  <c r="U50" i="1"/>
  <c r="W49" i="1"/>
  <c r="V49" i="1"/>
  <c r="U49" i="1"/>
  <c r="W48" i="1"/>
  <c r="V48" i="1"/>
  <c r="U48" i="1"/>
  <c r="W46" i="1"/>
  <c r="V46" i="1"/>
  <c r="U46" i="1"/>
  <c r="W45" i="1"/>
  <c r="V45" i="1"/>
  <c r="U45" i="1"/>
  <c r="W44" i="1"/>
  <c r="V44" i="1"/>
  <c r="U44" i="1"/>
  <c r="U43" i="1"/>
  <c r="W41" i="1"/>
  <c r="V41" i="1"/>
  <c r="U41" i="1"/>
  <c r="W40" i="1"/>
  <c r="V40" i="1"/>
  <c r="U40" i="1"/>
  <c r="W38" i="1"/>
  <c r="V38" i="1"/>
  <c r="U38" i="1"/>
  <c r="W37" i="1"/>
  <c r="V37" i="1"/>
  <c r="U37" i="1"/>
  <c r="W36" i="1"/>
  <c r="V36" i="1"/>
  <c r="U36" i="1"/>
  <c r="W34" i="1"/>
  <c r="V34" i="1"/>
  <c r="U34" i="1"/>
  <c r="W33" i="1"/>
  <c r="V33" i="1"/>
  <c r="U33" i="1"/>
  <c r="W32" i="1"/>
  <c r="V32" i="1"/>
  <c r="U32" i="1"/>
  <c r="W31" i="1"/>
  <c r="V31" i="1"/>
  <c r="U31" i="1"/>
  <c r="W30" i="1"/>
  <c r="V30" i="1"/>
  <c r="U30" i="1"/>
  <c r="W29" i="1"/>
  <c r="V29" i="1"/>
  <c r="U29" i="1"/>
  <c r="W28" i="1"/>
  <c r="V28" i="1"/>
  <c r="U28" i="1"/>
  <c r="W27" i="1"/>
  <c r="V27" i="1"/>
  <c r="U27" i="1"/>
  <c r="W26" i="1"/>
  <c r="V26" i="1"/>
  <c r="U26" i="1"/>
  <c r="W24" i="1"/>
  <c r="V24" i="1"/>
  <c r="U24" i="1"/>
  <c r="W22" i="1"/>
  <c r="V22" i="1"/>
  <c r="U22" i="1"/>
  <c r="W21" i="1"/>
  <c r="V21" i="1"/>
  <c r="U21" i="1"/>
  <c r="W20" i="1"/>
  <c r="V20" i="1"/>
  <c r="U20" i="1"/>
  <c r="W19" i="1"/>
  <c r="V19" i="1"/>
  <c r="U19" i="1"/>
  <c r="W18" i="1"/>
  <c r="V18" i="1"/>
  <c r="U18" i="1"/>
  <c r="W17" i="1"/>
  <c r="V17" i="1"/>
  <c r="U17" i="1"/>
  <c r="W16" i="1"/>
  <c r="V16" i="1"/>
  <c r="U16" i="1"/>
  <c r="W15" i="1"/>
  <c r="V15" i="1"/>
  <c r="U15" i="1"/>
  <c r="W14" i="1"/>
  <c r="V14" i="1"/>
  <c r="V13" i="1"/>
  <c r="U13" i="1"/>
  <c r="W12" i="1"/>
  <c r="V12" i="1"/>
  <c r="U12" i="1"/>
  <c r="W11" i="1"/>
  <c r="V11" i="1"/>
  <c r="U11" i="1"/>
  <c r="W9" i="1"/>
  <c r="V9" i="1"/>
  <c r="U9" i="1"/>
</calcChain>
</file>

<file path=xl/sharedStrings.xml><?xml version="1.0" encoding="utf-8"?>
<sst xmlns="http://schemas.openxmlformats.org/spreadsheetml/2006/main" count="6265" uniqueCount="2244">
  <si>
    <t>Scheme Review Report - Successful Vendors</t>
  </si>
  <si>
    <t>Department / Agency</t>
  </si>
  <si>
    <t>Department of Planning, Industry and Environment » Government Architect NSW</t>
  </si>
  <si>
    <t>Scheme ID</t>
  </si>
  <si>
    <t>SCM0801</t>
  </si>
  <si>
    <t>Report Date</t>
  </si>
  <si>
    <t>SCM0801 -  GOVERNMENT ARCHITECT'S STRATEGY &amp; DESIGN PREQUALIFICATION SCHEME</t>
  </si>
  <si>
    <t>CAPABILITIES</t>
  </si>
  <si>
    <t>SUPPLIER INFORMATION</t>
  </si>
  <si>
    <t>SUPPLIER DETAILS</t>
  </si>
  <si>
    <t>STRATEGY</t>
  </si>
  <si>
    <t>DESIGN</t>
  </si>
  <si>
    <t>(a) Project Initiation, Definition, Justification and Risk Assessment</t>
  </si>
  <si>
    <t>(b) Project Governance and Management</t>
  </si>
  <si>
    <t>(c) Business Case Development</t>
  </si>
  <si>
    <t>(d) Financial and Economic Analysis</t>
  </si>
  <si>
    <t>(e) Stakeholder Engagement and Management</t>
  </si>
  <si>
    <t>(f) Strategic Planning</t>
  </si>
  <si>
    <t>(g) Aboriginal Cultural and Spatial Intelligence</t>
  </si>
  <si>
    <t>(a) Architecture</t>
  </si>
  <si>
    <t>(b) Urban Design</t>
  </si>
  <si>
    <t>(c) Landscape Architecture</t>
  </si>
  <si>
    <t>(d) Emerging Practices</t>
  </si>
  <si>
    <t>Business Name</t>
  </si>
  <si>
    <t>Entity Name</t>
  </si>
  <si>
    <t>Web Address</t>
  </si>
  <si>
    <t>Contact Name</t>
  </si>
  <si>
    <t>Contact Position</t>
  </si>
  <si>
    <t>Street Address Line 1</t>
  </si>
  <si>
    <t>Street Address Line 2</t>
  </si>
  <si>
    <t>Town/ City</t>
  </si>
  <si>
    <t>State/Territory</t>
  </si>
  <si>
    <t>Postcode</t>
  </si>
  <si>
    <t>Phone Number</t>
  </si>
  <si>
    <t>Mobile Number</t>
  </si>
  <si>
    <t>Email Address</t>
  </si>
  <si>
    <t>Trading Name</t>
  </si>
  <si>
    <t>Number of Employees</t>
  </si>
  <si>
    <t>ABN</t>
  </si>
  <si>
    <t>ACN</t>
  </si>
  <si>
    <t>Service Area</t>
  </si>
  <si>
    <t>Yes</t>
  </si>
  <si>
    <t>No</t>
  </si>
  <si>
    <t>Aalto Pty Ltd</t>
  </si>
  <si>
    <t>AALTO PTY LTD</t>
  </si>
  <si>
    <t>http://www.aaltoconsulting.com.au</t>
  </si>
  <si>
    <t>Darron Cook</t>
  </si>
  <si>
    <t>Managing Director</t>
  </si>
  <si>
    <t>Suite 110</t>
  </si>
  <si>
    <t>838 Collins Street</t>
  </si>
  <si>
    <t>Docklands</t>
  </si>
  <si>
    <t>Vic</t>
  </si>
  <si>
    <t>info@aaltoconsulting.com.au</t>
  </si>
  <si>
    <t>Aalto</t>
  </si>
  <si>
    <t>0-19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</si>
  <si>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Northern Sydney, Hunter, Mid North Coast, Illawarra, Central West, Inner West, Cumberland/Prospect, New England, Southern Highlands, Orana/Far West, South East Sydney, Nepean, Central Coast, Far North Coast, Riverina/Murray, South West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QLD, WA, SA, ACT, TAS, NT</t>
    </r>
  </si>
  <si>
    <t>Acorn Project Advisory PtyLtd</t>
  </si>
  <si>
    <t>ACORN PROJECT ADVISORY PTY LTD</t>
  </si>
  <si>
    <t>http://www.acorn-projects.com.au</t>
  </si>
  <si>
    <t>Jeremy Oakes</t>
  </si>
  <si>
    <t>Director</t>
  </si>
  <si>
    <t>10 Kimo Street</t>
  </si>
  <si>
    <t>North Balgowlah</t>
  </si>
  <si>
    <t>NSW</t>
  </si>
  <si>
    <t>0435 868 912</t>
  </si>
  <si>
    <t>jeremy.oakes@acorn-projects.com.au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</si>
  <si>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England,Central Coast, Hunter, Cumberland/Prospect, Nepean, NorthernSydney, Inner West, South East Sydney, South West Sydney, CentralWest, Orana/Far West, Riverina/Murray,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QLD, SA, VIC</t>
    </r>
  </si>
  <si>
    <t>Adriano Pupilli Architects Pty Ltd</t>
  </si>
  <si>
    <t>ADRIANO PUPILLI ARCHITECTS PTY LTD</t>
  </si>
  <si>
    <t>http://www.adrianopupilli.com.au</t>
  </si>
  <si>
    <t>Adriano Pupilli</t>
  </si>
  <si>
    <t>Practice Director</t>
  </si>
  <si>
    <t>PO Box 770</t>
  </si>
  <si>
    <t>Manly</t>
  </si>
  <si>
    <t>info@adrianopupilli.com.au</t>
  </si>
  <si>
    <t>Adriano Pupilli Architects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</si>
  <si>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Hunter, Mid North Coast, Illawarra, Central West, Inner West, Cumberland/Prospect, New England, Southern Highlands, Orana/Far West, South East Sydney, Nepean, Central Coast, Far North Coast, Riverina/Murray, South West Sydney, Northern Sydney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QLD, WA, SA, ACT, TAS, NT</t>
    </r>
  </si>
  <si>
    <t>AECOM</t>
  </si>
  <si>
    <t>AECOM AUSTRALIA PTY LTD</t>
  </si>
  <si>
    <t>http://www.aecom.com</t>
  </si>
  <si>
    <t>James Grant</t>
  </si>
  <si>
    <t>Practice Leader, Design &amp; Planning</t>
  </si>
  <si>
    <t>Level 21, 420 George Street</t>
  </si>
  <si>
    <t>Sydney</t>
  </si>
  <si>
    <t>james.grant@aecom.com</t>
  </si>
  <si>
    <t>200+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</si>
  <si>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Cumberland/Prospect, New England, Southern Highlands, Orana/Far West, South East Sydney, Nepean, Central Coast, Far North Coast, Riverina/Murray, South West Sydney, Northern Sydney, Hunter, Mid North Coast, Illawarra, Central West, Inner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WA, SA, ACT, TAS, NT, VIC, QLD</t>
    </r>
  </si>
  <si>
    <t>AILEEN SAGE PTY. LTD.</t>
  </si>
  <si>
    <t>http://www.aileensage.com</t>
  </si>
  <si>
    <t>Amelia Holliday</t>
  </si>
  <si>
    <t>Darlinghurst</t>
  </si>
  <si>
    <t>studio@aileensage.com</t>
  </si>
  <si>
    <t>Aileen Sage Architects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</si>
  <si>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Orana/Far West, South East Sydney, Nepean, Central Coast, Far North Coast, Riverina/Murray, South West Sydney, Northern Sydney, Hunter, Mid North Coast, Illawarra, Central West, Inner West, Cumberland/Prospect, New England,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SA, ACT, TAS, NT, VIC, QLD, WA</t>
    </r>
  </si>
  <si>
    <t>AJH ARCHITECTURE &amp; INTERIORS PTY LTD</t>
  </si>
  <si>
    <t>AJH ARCHITECTURE &amp; INTERIORS PTY. LTD.</t>
  </si>
  <si>
    <t>http://ajh-a.com.au</t>
  </si>
  <si>
    <t>Adrian Hernandez</t>
  </si>
  <si>
    <t>100 Harris St</t>
  </si>
  <si>
    <t>Pyrmont</t>
  </si>
  <si>
    <t>adrian@ajh-a.com.au</t>
  </si>
  <si>
    <t>Aleksandar Design Group Pty Ltd</t>
  </si>
  <si>
    <t>ALEKSANDAR DESIGN GROUP PTY LTD</t>
  </si>
  <si>
    <t>http://aleksandarprojects.com.au</t>
  </si>
  <si>
    <t>Michelle Jelicic</t>
  </si>
  <si>
    <t>Project Leader</t>
  </si>
  <si>
    <t>52 Kellett St</t>
  </si>
  <si>
    <t>Potts Point</t>
  </si>
  <si>
    <t>mj@aleksandarprojects.com.au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</si>
  <si>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Riverina/Murray, South West Sydney, Northern Sydney, Hunter, Mid North Coast, Illawarra, Central West, Inner West, Cumberland/Prospect, New England, Southern Highlands, Orana/Far West, South East Sydney, Nepean, Central Coast, Far North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NT, VIC, QLD, WA, SA, ACT</t>
    </r>
  </si>
  <si>
    <t>All About Planning Pty Ltd</t>
  </si>
  <si>
    <t>ALL ABOUT PLANNING PTY LTD</t>
  </si>
  <si>
    <t>http://www.allaboutplanning.com.au</t>
  </si>
  <si>
    <t>Michelle Chapman</t>
  </si>
  <si>
    <t>Director and Principal Town Planner</t>
  </si>
  <si>
    <t>14 Cross Street</t>
  </si>
  <si>
    <t>Port Macquarie</t>
  </si>
  <si>
    <t>michelle@allaboutplanning.com.au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</si>
  <si>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Inner West, Cumberland/Prospect, New England, Southern Highlands, Orana/Far West, South East Sydney, Nepean, Central Coast, Far North Coast, Riverina/Murray, South West Sydney, Northern Sydney, Hunter, Mid North Coast, Illawarra, Central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WA, SA, ACT, TAS, NT, VIC, QLD</t>
    </r>
  </si>
  <si>
    <t>http://www.architectsajc.com</t>
  </si>
  <si>
    <t>79 Myrtle Street</t>
  </si>
  <si>
    <t>Chippendale</t>
  </si>
  <si>
    <t>tenders@architectsajc.com</t>
  </si>
  <si>
    <t>20-100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</si>
  <si>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West, Inner West, Cumberland/Prospect, New England, Southern Highlands, Orana/Far West, South East Sydney, Nepean, Central Coast, Far North Coast, Riverina/Murray, South West Sydney, Northern Sydney, Hunter, Mid North Coast, Illawarra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QLD, WA, SA, ACT, TAS, NT, VIC</t>
    </r>
  </si>
  <si>
    <t>Andrew Burges Architects</t>
  </si>
  <si>
    <t>ANDREW BURGES PTY LIMITED</t>
  </si>
  <si>
    <t>http://www.aba-architects.com.au</t>
  </si>
  <si>
    <t>Andrew Burges</t>
  </si>
  <si>
    <t>32/61 Marlborough Street</t>
  </si>
  <si>
    <t>Surry Hills</t>
  </si>
  <si>
    <t>aba@aba-architects.com.au</t>
  </si>
  <si>
    <t>Andrew Burges Pty Ltd</t>
  </si>
  <si>
    <t>Andrew Burns Architect Pty Limited</t>
  </si>
  <si>
    <t>The trustee for Andrew Burns Trust</t>
  </si>
  <si>
    <t>http://www.andrewburns.net.au</t>
  </si>
  <si>
    <t>Andrew Burns</t>
  </si>
  <si>
    <t>Suite 2, 619 Elizabeth St</t>
  </si>
  <si>
    <t>Redfern</t>
  </si>
  <si>
    <t>office@andrewburns.net.au</t>
  </si>
  <si>
    <t>Andrew Burns Architect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</si>
  <si>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Cumberland/Prospect, New England, Southern Highlands, Orana/Far West, South East Sydney, Nepean, Central Coast, Far North Coast, Riverina/Murray, South West Sydney, Northern Sydney, Hunter, Mid North Coast, Illawarra, Central West, Inner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WA, SA, ACT, TAS, NT, VIC, QLD</t>
    </r>
  </si>
  <si>
    <t>Angel Hayes Pty Ltd</t>
  </si>
  <si>
    <t>ANGEL HAYES PTY LTD</t>
  </si>
  <si>
    <t>http://www.jeanrice.com.au</t>
  </si>
  <si>
    <t>Jean Rice</t>
  </si>
  <si>
    <t>13 St John St</t>
  </si>
  <si>
    <t>Newtown</t>
  </si>
  <si>
    <t>jean@jeanrice.com.au</t>
  </si>
  <si>
    <t>Jean Rice Architect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</si>
  <si>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Cumberland/Prospect, New England, Southern Highlands, Orana/Far West, South East Sydney, Nepean, Central Coast, Far North Coast, Riverina/Murray, South West Sydney, Northern Sydney, Hunter, Mid North Coast, Illawarra, Central West, Inner West
</t>
    </r>
  </si>
  <si>
    <t>ANGELO CANDALEPAS AND ASSOCIATES</t>
  </si>
  <si>
    <t>ANGELO CANDALEPAS &amp; ASSOCIATES PTY LTD</t>
  </si>
  <si>
    <t>http://www.candalepas.com.au</t>
  </si>
  <si>
    <t>Mary Georgiou</t>
  </si>
  <si>
    <t>Commercial Manager</t>
  </si>
  <si>
    <t>309 Sussex Street</t>
  </si>
  <si>
    <t>info@candalepas.com.au</t>
  </si>
  <si>
    <t>Candalepas Associates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</si>
  <si>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Far North Coast, Riverina/Murray, South West Sydney, Northern Sydney, Hunter, Mid North Coast, Illawarra, Central West, Inner West, Cumberland/Prospect, New England, Southern Highlands, Orana/Far West, South East Sydney, Nepean, Central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NT, VIC, QLD, WA, SA, ACT</t>
    </r>
  </si>
  <si>
    <t>Antelope Consulting PTY LTD</t>
  </si>
  <si>
    <t>ANTELOPE CONSULTING PTY LIMITED</t>
  </si>
  <si>
    <t>http://www.antelope.net.au</t>
  </si>
  <si>
    <t>Antoinette Trimble</t>
  </si>
  <si>
    <t>224 Alt St</t>
  </si>
  <si>
    <t>Haberfield</t>
  </si>
  <si>
    <t>atrimble@antelope.net.au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</si>
  <si>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Hunter, Mid North Coast, Illawarra, Central West, Inner West, Cumberland/Prospect, New England, Southern Highlands, Orana/Far West, South East Sydney, Nepean, Central Coast, Far North Coast, Riverina/Murray, South West Sydney, Northern Sydney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QLD, WA, SA, ACT, TAS, NT</t>
    </r>
  </si>
  <si>
    <t>ARCHER OFFICE</t>
  </si>
  <si>
    <t>ARCHER OFFICE PTY LTD</t>
  </si>
  <si>
    <t>http://www.archeroffice.com</t>
  </si>
  <si>
    <t>Tomek Archer</t>
  </si>
  <si>
    <t>Suite 76, Level 7</t>
  </si>
  <si>
    <t>61 Marlborough St</t>
  </si>
  <si>
    <t>studio@archeroffice.com</t>
  </si>
  <si>
    <t>Tomahawk Studios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</si>
  <si>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Southern Highlands, Orana/Far West, South East Sydney, Nepean, Central Coast, Far North Coast, Riverina/Murray, South West Sydney, Northern Sydney, Hunter, Mid North Coast, Illawarra, Central West, Inner West, Cumberland/Prospect, New England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WA, SA, ACT, TAS, NT, VIC, QLD</t>
    </r>
  </si>
  <si>
    <t>Architect Marshall Pty Ltd</t>
  </si>
  <si>
    <t>ARCHITECT MARSHALL PTY. LIMITED</t>
  </si>
  <si>
    <t>http://www.marshall.net.au</t>
  </si>
  <si>
    <t>Sam Marshall</t>
  </si>
  <si>
    <t>23 Ebley Street</t>
  </si>
  <si>
    <t>Bondi Junction</t>
  </si>
  <si>
    <t>sam@marshall.net.au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</si>
  <si>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West, Inner West, Cumberland/Prospect, New England, Southern Highlands, Orana/Far West, South East Sydney, Nepean, Central Coast, Far North Coast, Riverina/Murray, South West Sydney, Northern Sydney, Hunter, Mid North Coast, Illawarra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</si>
  <si>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Architects Johannsen and Associates Pty Ltd</t>
  </si>
  <si>
    <t>ARCHITECTS JOHANNSEN &amp; ASSOCIATES PTY. LTD.</t>
  </si>
  <si>
    <t>http://www.aja.com.au</t>
  </si>
  <si>
    <t>Jon Johannsen</t>
  </si>
  <si>
    <t>Principal</t>
  </si>
  <si>
    <t>studio 10</t>
  </si>
  <si>
    <t>17 Thurlow St.</t>
  </si>
  <si>
    <t>East Redfern</t>
  </si>
  <si>
    <t>jon@aja.com.au</t>
  </si>
  <si>
    <t>Architects Johannsen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</si>
  <si>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Illawarra, Inner West, Cumberland/Prospect, Southern Highlands, South East Sydney, Nepean, Central Coast, South West Sydney, Northern Sydney, Hunter
</t>
    </r>
  </si>
  <si>
    <t>ARCHITECTUAL PROJECTS PTY LIMITED</t>
  </si>
  <si>
    <t>ARCHITECTURAL PROJECTS PTY. LIMITED</t>
  </si>
  <si>
    <t>http://www.architecturalprojects.net.au</t>
  </si>
  <si>
    <t>Jennifer Hill</t>
  </si>
  <si>
    <t>Studio 1, 181 Lawson Street</t>
  </si>
  <si>
    <t>Darlington</t>
  </si>
  <si>
    <t>ruth@architecturalprojects.net.au</t>
  </si>
  <si>
    <t>Architectural Projects Pty Ltd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</si>
  <si>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East Sydney, Nepean, Central Coast, South West Sydney, Northern Sydney, Hunter, Illawarra, Inner West, Cumberland/Prospect,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QLD, TAS, VIC, ACT</t>
    </r>
  </si>
  <si>
    <t>Architectus Group Pty Ltd</t>
  </si>
  <si>
    <t>http://www.architectus.com.au</t>
  </si>
  <si>
    <t>Jackie Blundell</t>
  </si>
  <si>
    <t>Group Knowledge &amp; Marketing Manager</t>
  </si>
  <si>
    <t>Level 18 MLC Centre</t>
  </si>
  <si>
    <t>19 Martin Place</t>
  </si>
  <si>
    <t>suzie.barkovic@architectus.com.au</t>
  </si>
  <si>
    <t>Architectus</t>
  </si>
  <si>
    <t>101-200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</si>
  <si>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East Sydney, Nepean, South West Sydney, Northern Sydney, Inner West, Cumberland/Prospect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SA, VIC, ACT, WA, QLD</t>
    </r>
  </si>
  <si>
    <t>Archrival</t>
  </si>
  <si>
    <t>http://www.archrival.org</t>
  </si>
  <si>
    <t>Lucy Humphrey</t>
  </si>
  <si>
    <t>Codirector</t>
  </si>
  <si>
    <t>17 Baldwin Street</t>
  </si>
  <si>
    <t>Erskineville</t>
  </si>
  <si>
    <t>info@archrival.org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</si>
  <si>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Hunter, Mid North Coast, Illawarra, Central West, Inner West, Cumberland/Prospect, New England, Southern Highlands, Orana/Far West, South East Sydney, Nepean, Central Coast, Far North Coast, Riverina/Murray, South West Sydney, Northern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QLD, WA, SA, ACT, TAS, NT</t>
    </r>
  </si>
  <si>
    <t>arki_lab</t>
  </si>
  <si>
    <t>ARKI-LAB APS</t>
  </si>
  <si>
    <t>http://www.arkilab.dk</t>
  </si>
  <si>
    <t>Rasmus Frisk</t>
  </si>
  <si>
    <t>CEO and Partner</t>
  </si>
  <si>
    <t>79 Beattie Street</t>
  </si>
  <si>
    <t>Balmain</t>
  </si>
  <si>
    <t>rf@arkilab.dk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</si>
  <si>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Illawarra, Northern Sydney, South East Sydney, New England, South West Sydney, Cumberland/Prospect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</t>
    </r>
  </si>
  <si>
    <t>ARM Architecture</t>
  </si>
  <si>
    <t>THE TRUSTEE FOR ASHTON RAGGATT MCDOUGALL UNIT TRUST</t>
  </si>
  <si>
    <t>http://www.armarchitecture.com.au/</t>
  </si>
  <si>
    <t>Mark Raggatt</t>
  </si>
  <si>
    <t>Level 11, 522 Flinders Lane</t>
  </si>
  <si>
    <t>Melbourne</t>
  </si>
  <si>
    <t>mraggatt@armarchitecture.com.au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</si>
  <si>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Inner West, Cumberland/Prospect, South East Sydney, Nepean, Central Coast, South West Sydney, Northern Sydney, Hunter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WA, SA, ACT, TAS, NT, VIC, QLD</t>
    </r>
  </si>
  <si>
    <t>AR-MA Architects Pty Ltd</t>
  </si>
  <si>
    <t>AR-MA ARCHITECTS PTY LTD</t>
  </si>
  <si>
    <t>http://ar-ma.net</t>
  </si>
  <si>
    <t>Robert Beson</t>
  </si>
  <si>
    <t>Level 3, 101-111 William Street</t>
  </si>
  <si>
    <t>beson@ar-ma.net</t>
  </si>
  <si>
    <t>AR-MA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</si>
  <si>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Central West, Inner West, Cumberland/Prospect, New England, Southern Highlands, Orana/Far West, South East Sydney, Nepean, Central Coast, Far North Coast, Riverina/Murray, South West Sydney, Northern Sydney, Hunter, Mid North Coast, Illawarra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QLD, WA, SA, ACT, TAS, NT, VIC</t>
    </r>
  </si>
  <si>
    <t>ARTSCAPE</t>
  </si>
  <si>
    <t>ARTSCAPE PTY LIMITED</t>
  </si>
  <si>
    <t>http://www.artscapeconsulting.com.au</t>
  </si>
  <si>
    <t>David Cianci</t>
  </si>
  <si>
    <t>PO Box 3459</t>
  </si>
  <si>
    <t>Tuggerah</t>
  </si>
  <si>
    <t>dcianci@artscapeconsulting.com.au</t>
  </si>
  <si>
    <t>David Cianci T/A ARTSCAPE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</si>
  <si>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Illawarra, Central West, Inner West, Cumberland/Prospect, New England, Southern Highlands, Orana/Far West, South East Sydney, Nepean, Central Coast, Far North Coast, Riverina/Murray, South West Sydney, Northern Sydney, Hunter, Mid North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QLD, WA, SA, ACT, TAS, NT</t>
    </r>
  </si>
  <si>
    <t>ASPECT</t>
  </si>
  <si>
    <t>ASPECT STUDIOS PTY LTD</t>
  </si>
  <si>
    <t>Tanya Taylor</t>
  </si>
  <si>
    <t>Personal Assistant/ Studio Administrator</t>
  </si>
  <si>
    <t>Leve 1, 78 - 80 George Street</t>
  </si>
  <si>
    <t>tanya.taylor@aspect-studios.com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</si>
  <si>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Riverina/Murray, South West Sydney, Northern Sydney, Hunter, Mid North Coast, Illawarra, Central West, Inner West, Cumberland/Prospect, New England, Southern Highlands, Orana/Far West, South East Sydney, Nepean, Central Coast, Far North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NT, VIC, QLD, WA, SA, ACT</t>
    </r>
  </si>
  <si>
    <t>Aspect Architecture</t>
  </si>
  <si>
    <t>The trustee for MNCJ DISCRETIONARY TRUST NO. 1</t>
  </si>
  <si>
    <t>http://www.aspectarch.com/</t>
  </si>
  <si>
    <t>scott mason</t>
  </si>
  <si>
    <t>Project Architect</t>
  </si>
  <si>
    <t>Suite 27, 11-13 Pearl Street</t>
  </si>
  <si>
    <t>kingscliff</t>
  </si>
  <si>
    <t>smason@aspectarch.com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</si>
  <si>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New England, Central Coast, Far North Coast, Hunter, Mid North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QLD</t>
    </r>
  </si>
  <si>
    <t>Atlas Urban Design &amp; Strategy</t>
  </si>
  <si>
    <t>ATLAS URBAN DESIGN &amp; STRATEGY PTY LIMITED</t>
  </si>
  <si>
    <t>http://www.atlasurban.com</t>
  </si>
  <si>
    <t>Paul Walter</t>
  </si>
  <si>
    <t>1/136 Willoughby Road</t>
  </si>
  <si>
    <t>Crows Nest</t>
  </si>
  <si>
    <t>paul@atlasurban.com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</si>
  <si>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East Sydney, Nepean, Central Coast, Far North Coast, Riverina/Murray, South West Sydney, Northern Sydney, Hunter, Mid North Coast, Illawarra, Central West, Inner West, Cumberland/Prospect, New England, Southern Highlands, Orana/Far West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NT, QLD</t>
    </r>
  </si>
  <si>
    <t>Aurora Design Pty Ltd.</t>
  </si>
  <si>
    <t>The Trustee for AURORA DESIGN</t>
  </si>
  <si>
    <t>http://www.auroradesign.net.au</t>
  </si>
  <si>
    <t>Nuno Fernandes</t>
  </si>
  <si>
    <t>Suite 1105, Level 11 / 50 Clarence Street</t>
  </si>
  <si>
    <t>office@auroradesign.net.au</t>
  </si>
  <si>
    <t>Aurora Design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</si>
  <si>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Southern Highlands, South East Sydney, Nepean, Central Coast, South West Sydney, Northern Sydney, Hunter, Illawarra, Inner West, Cumberland/Prospect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</si>
  <si>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BAKER KAVANAGH ARCHITECTS</t>
  </si>
  <si>
    <t>BKA ARCHITECTURE PTY LTD</t>
  </si>
  <si>
    <t>http://www.bka.com.au</t>
  </si>
  <si>
    <t>John Baker</t>
  </si>
  <si>
    <t>Suite 1.04</t>
  </si>
  <si>
    <t>77 Dunning Avenue</t>
  </si>
  <si>
    <t>Rosebery</t>
  </si>
  <si>
    <t>jb@bka.com.au</t>
  </si>
  <si>
    <t>BKA architecture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</si>
  <si>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Inner West, Cumberland/Prospect, New England, Southern Highlands, South East Sydney, Nepean, Central Coast, Far North Coast, South West Sydney, Northern Sydney, Hunter, Mid North Coast, Illawarra
</t>
    </r>
  </si>
  <si>
    <t>Baukultur</t>
  </si>
  <si>
    <t>BAUKULTURPTY LTD</t>
  </si>
  <si>
    <t>http://www.baukultur.com.au</t>
  </si>
  <si>
    <t>Mariano De Duonni</t>
  </si>
  <si>
    <t>Darling Building Ground Floor</t>
  </si>
  <si>
    <t xml:space="preserve">28 Franklin St </t>
  </si>
  <si>
    <t>Adelaide</t>
  </si>
  <si>
    <t>SA</t>
  </si>
  <si>
    <t>0414508881</t>
  </si>
  <si>
    <t>mdeduonni@baukultur.com.au</t>
  </si>
  <si>
    <r>
      <rPr>
        <b/>
        <sz val="14"/>
        <color theme="1"/>
        <rFont val="Arial"/>
        <family val="2"/>
      </rPr>
      <t xml:space="preserve">States and </t>
    </r>
    <r>
      <rPr>
        <sz val="14"/>
        <color theme="1"/>
        <rFont val="Arial"/>
        <family val="2"/>
      </rPr>
      <t>Territories: ACT, SA, TAS</t>
    </r>
  </si>
  <si>
    <t>Bennett and Trimble Pty Ltd</t>
  </si>
  <si>
    <t>BENNETT AND TRIMBLE PTY LTD</t>
  </si>
  <si>
    <t>http://www.bennettandtrimble.com</t>
  </si>
  <si>
    <t>Matthew Bennett</t>
  </si>
  <si>
    <t>matthew@bennettandtrimble.com</t>
  </si>
  <si>
    <t>BICKERTON MASTERS ARCHITECTURE</t>
  </si>
  <si>
    <t>Bickerton Masters Architecture Pty Ltd</t>
  </si>
  <si>
    <t>http://www.bickertonmasters.com.au</t>
  </si>
  <si>
    <t>Murray Stewart</t>
  </si>
  <si>
    <t>Associate</t>
  </si>
  <si>
    <t>Level 3</t>
  </si>
  <si>
    <t>277 Clarence St</t>
  </si>
  <si>
    <t>kerrim@bmarch.com.au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</si>
  <si>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West Sydney, Northern Sydney, Hunter, Mid North Coast, Illawarra, Central West, Inner West, Cumberland/Prospect, New England, Southern Highlands, Orana/Far West, South East Sydney, Nepean, Central Coast, Far North Coast, Riverina/Murray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QLD, VIC, ACT</t>
    </r>
  </si>
  <si>
    <t>Billard Leece Partnership Pty Ltd</t>
  </si>
  <si>
    <t>BILLARD LEECE PARTNERSHIP PTY LTD</t>
  </si>
  <si>
    <t>http://www.blp.com.au</t>
  </si>
  <si>
    <t>Tara Veldman</t>
  </si>
  <si>
    <t>Studio 201 / 50 Holt Street</t>
  </si>
  <si>
    <t>tenders@blp.com.au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</si>
  <si>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Orana/Far West, South East Sydney, Nepean, Central Coast, Far North Coast, Riverina/Murray, South West Sydney, Northern Sydney, Hunter, Mid North Coast, Illawarra, Central West, Inner West, Cumberland/Prospect, New England,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SA, TAS, ACT, VIC, QLD, WA</t>
    </r>
  </si>
  <si>
    <t>Blair M Wilson &amp; Associates Pty Ltd</t>
  </si>
  <si>
    <t>BLAIR M. WILSON &amp; ASSOCIATES PTY. LTD.</t>
  </si>
  <si>
    <t>http://www.wilsonarchitects.com.au</t>
  </si>
  <si>
    <t>Michael Hartwich</t>
  </si>
  <si>
    <t>Associate Director</t>
  </si>
  <si>
    <t>564 Boundary St</t>
  </si>
  <si>
    <t>Spring Hill</t>
  </si>
  <si>
    <t>QLD</t>
  </si>
  <si>
    <t>wa@wilsonarchitects.com.au</t>
  </si>
  <si>
    <t>Wilson Architects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</si>
  <si>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Inner West, Cumberland/Prospect, New England, South East Sydney, Nepean, Central Coast, Far North Coast, South West Sydney, Northern Sydney, Hunter, Mid North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VIC, QLD, SA, TAS</t>
    </r>
  </si>
  <si>
    <t>BNMH ARCHITECTS PTY LTD</t>
  </si>
  <si>
    <t>http://www.bnmh.com.au</t>
  </si>
  <si>
    <t>Ray Hudson</t>
  </si>
  <si>
    <t>17/130 Pacific Highway</t>
  </si>
  <si>
    <t>Greenwich</t>
  </si>
  <si>
    <t>ray_h@bnmh.com.au</t>
  </si>
  <si>
    <t>Breakspear Architects pty ltd</t>
  </si>
  <si>
    <t>BREAKSPEAR ARCHITECTS PTY LTD</t>
  </si>
  <si>
    <t>Toby Breakspear</t>
  </si>
  <si>
    <t>1/3 Fairlight Street</t>
  </si>
  <si>
    <t>toby@brkspr.com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</si>
  <si>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Central Coast, Far North Coast, Riverina/Murray, South West Sydney, Northern Sydney, Hunter, Mid North Coast, Illawarra, Central West, Inner West, Cumberland/Prospect, New England, Southern Highlands, Orana/Far West, South East Sydney, Nepean
</t>
    </r>
  </si>
  <si>
    <t>BREWSTER HJORTH ARCHITECTS</t>
  </si>
  <si>
    <t>The Trustee for BREWSTER HJORTH UNIT TRUST</t>
  </si>
  <si>
    <t>http://www.brewsterhjorth.com.au</t>
  </si>
  <si>
    <t>Donnagh Murphy</t>
  </si>
  <si>
    <t>Office Manager</t>
  </si>
  <si>
    <t>Level One</t>
  </si>
  <si>
    <t>4-14 Foster Street</t>
  </si>
  <si>
    <t>donnagh.murphy@brewsterhjorth.com.au</t>
  </si>
  <si>
    <t>Brewster Hjorth Architects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</si>
  <si>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Hunter, Mid North Coast, Illawarra, Central West, Inner West, Cumberland/Prospect, New England, Southern Highlands, Orana/Far West, South East Sydney, Nepean, Central Coast, Far North Coast, Riverina/Murray, South West Sydney, Northern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QLD, VIC, ACT</t>
    </r>
  </si>
  <si>
    <t>buckandsimple</t>
  </si>
  <si>
    <t>The Trustee for buckandsimple Unit Trust</t>
  </si>
  <si>
    <t>http://www.buckandsimple.com</t>
  </si>
  <si>
    <t>Kurt Crisp</t>
  </si>
  <si>
    <t>2/ 7A Wentworth Street</t>
  </si>
  <si>
    <t>info@buckandsimple.com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</si>
  <si>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Nepean, Central Coast, Far North Coast, Riverina/Murray, South West Sydney, Northern Sydney, Hunter, Mid North Coast, Illawarra, Central West, Inner West, Cumberland/Prospect, New England, Southern Highlands, Orana/Far West, South East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</t>
    </r>
  </si>
  <si>
    <t>BVN</t>
  </si>
  <si>
    <t>BVN ARCHITECTURE PTY LTD</t>
  </si>
  <si>
    <t>http://www.bvn.com.au</t>
  </si>
  <si>
    <t>Tessa Dobbs</t>
  </si>
  <si>
    <t>Level 11, 255 Pitt Street</t>
  </si>
  <si>
    <t>businessdevelopmentteam@bvn.com.au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</si>
  <si>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New England, Southern Highlands, Orana/Far West, South East Sydney, Nepean, Central Coast, Far North Coast, Riverina/Murray, South West Sydney, Northern Sydney, Hunter, Mid North Coast, Illawarra, Central West, Inner West, Cumberland/Prospect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WA, SA, ACT, TAS, NT, VIC, QLD</t>
    </r>
  </si>
  <si>
    <t>C4 Architects Pty Limited</t>
  </si>
  <si>
    <t>http://www.c4architects.com.au</t>
  </si>
  <si>
    <t>Brent Dowsett</t>
  </si>
  <si>
    <t>153 Rankins Springs Road</t>
  </si>
  <si>
    <t>Myall Park</t>
  </si>
  <si>
    <t>bd@c4architects.com.au</t>
  </si>
  <si>
    <t>C4 Architects Pty Ltd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</si>
  <si>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Cumberland/Prospect, New England, Southern Highlands, Orana/Far West, South East Sydney, Nepean, Central Coast, Far North Coast, Riverina/Murray, South West Sydney, Northern Sydney, Hunter, Mid North Coast, Illawarra, Central West, Inner West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SA</t>
    </r>
  </si>
  <si>
    <t>Capital Insight Pty Limited</t>
  </si>
  <si>
    <t>CAPITAL INSIGHT PTY. LIMITED</t>
  </si>
  <si>
    <t>http://www.capitalinsight.com.au</t>
  </si>
  <si>
    <t>Colin Davies</t>
  </si>
  <si>
    <t>Director Advisory</t>
  </si>
  <si>
    <t>Level 6, 77 Berry Street</t>
  </si>
  <si>
    <t>North Sydney</t>
  </si>
  <si>
    <t>scott.lawlor@capitalinsight.com.au</t>
  </si>
  <si>
    <t>Capital Insight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</si>
  <si>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New England, Southern Highlands, Orana/Far West, South East Sydney, Nepean, Central Coast, Far North Coast, Riverina/Murray, South West Sydney, Northern Sydney, Hunter, Mid North Coast, Illawarra, Central West, Inner West, Cumberland/Prospect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ACT, QLD, TAS</t>
    </r>
  </si>
  <si>
    <t>Carter Williamson Architects Pty Ltd</t>
  </si>
  <si>
    <t>The Trustee for The Carter Williamson Architects Unit Trust</t>
  </si>
  <si>
    <t>http://www.carterwilliamson.com</t>
  </si>
  <si>
    <t>Shaun Carter</t>
  </si>
  <si>
    <t>Principal/ Director</t>
  </si>
  <si>
    <t>1/142 Smith Street</t>
  </si>
  <si>
    <t>Summer Hill</t>
  </si>
  <si>
    <t>ben@carterwilliamson.com</t>
  </si>
  <si>
    <t>Carter Williamson Architects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</si>
  <si>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Illawarra, Central West, Inner West, Cumberland/Prospect, New England, Southern Highlands, Orana/Far West, South East Sydney, Nepean, Central Coast, Far North Coast, Riverina/Murray, South West Sydney, Northern Sydney, Hunter, Mid North Coast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QLD, WA, SA, ACT, TAS, NT</t>
    </r>
  </si>
  <si>
    <t>Cathy Kubany Architect</t>
  </si>
  <si>
    <t>KUBANY, CATHERINE ANNE</t>
  </si>
  <si>
    <t>https://cathykubany.wixsite.com/architecture</t>
  </si>
  <si>
    <t>Cathy Kubany</t>
  </si>
  <si>
    <t>McCarrs Creek Road</t>
  </si>
  <si>
    <t>Church Point</t>
  </si>
  <si>
    <t>cathykubany@gmail.com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</si>
  <si>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Cumberland/Prospect, New England, Southern Highlands, Orana/Far West, South East Sydney, Nepean, Central Coast, Riverina/Murray, South West Sydney, Northern Sydney, Hunter, Mid North Coast, Illawarra, Central West, Inner West
</t>
    </r>
  </si>
  <si>
    <t>CHANINE DESIGN PTY LTD</t>
  </si>
  <si>
    <t>CHANINE DESIGN PTY. LIMITED</t>
  </si>
  <si>
    <t>http://www.cdarchitects.com.au</t>
  </si>
  <si>
    <t>Ruzica Maric</t>
  </si>
  <si>
    <t>Level 2 (CD Architects)</t>
  </si>
  <si>
    <t>60 Park street</t>
  </si>
  <si>
    <t>ruzica@cdarchitects.com.au</t>
  </si>
  <si>
    <t>Chanine Design Pty Ltd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</si>
  <si>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West Sydney, Northern Sydney, Hunter, Mid North Coast, Illawarra, Central West, Inner West, Cumberland/Prospect, New England, Southern Highlands, Orana/Far West, South East Sydney, Nepean, Central Coast, Far North Coast, Riverina/Murray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WA, ACT, QLD</t>
    </r>
  </si>
  <si>
    <t>Chenchow Little Pty Ltd</t>
  </si>
  <si>
    <t>CHENCHOW LITTLE PTY LTD</t>
  </si>
  <si>
    <t>http://www.chenchowlittle.com</t>
  </si>
  <si>
    <t>Anthony Chenchow</t>
  </si>
  <si>
    <t>Suite 3, 151 Foveaux Street</t>
  </si>
  <si>
    <t>mail@chenchowlittle.com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</si>
  <si>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Riverina/Murray, South West Sydney, Northern Sydney, Hunter, Mid North Coast, Illawarra, Central West, Inner West, Cumberland/Prospect, New England, Southern Highlands, Orana/Far West, South East Sydney, Nepean, Central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VIC</t>
    </r>
  </si>
  <si>
    <t>CHRISTO AITKEN &amp; ASSOCIATES</t>
  </si>
  <si>
    <t>C.J AITKEN &amp; T.L AITKEN</t>
  </si>
  <si>
    <t>Christo Aitken</t>
  </si>
  <si>
    <t>11 Denman Parade, Leura NSW 2780 (Mtns) and 3 The Ridgeway Napoleon Reef Bathurst 2795 (Bathurst Office)</t>
  </si>
  <si>
    <t>Leura</t>
  </si>
  <si>
    <t>christoaitken@bigpond.com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</si>
  <si>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Southern Highlands, Central West, Cumberland/Prospect, Orana/Far West, Nepean, Central Coast, Illawarra, Northern Sydney, Hunter
</t>
    </r>
  </si>
  <si>
    <t>CHROFI</t>
  </si>
  <si>
    <t>The Trustee for Choi Ropiha Fighera Unit Trust</t>
  </si>
  <si>
    <t>http://www.chrofi.com</t>
  </si>
  <si>
    <t>John Choi</t>
  </si>
  <si>
    <t>3/1 The Corso</t>
  </si>
  <si>
    <t>tenders@chrofi.com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</si>
  <si>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>Northern Sydney, Hunter, Mid North Coast, Illawarra, Central West, Inner West, Cumberland/Prospect, New England, Southern Highlands, Orana/Far West, South East Sydney, Nepean, Central Coast, Far North Coast, Riverina/Murray, South West Sydney
States and Territories: VIC, QLD, WA, SA, ACT, TAS, NT</t>
    </r>
  </si>
  <si>
    <t>City People</t>
  </si>
  <si>
    <t>CITY PEOPLE PTY. LTD.</t>
  </si>
  <si>
    <t>http://www.citypeople.com.au</t>
  </si>
  <si>
    <t>Michael Cohen</t>
  </si>
  <si>
    <t>13 Darling St</t>
  </si>
  <si>
    <t>Bronte</t>
  </si>
  <si>
    <t>admin@citypeople.com.au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</si>
  <si>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New England, Southern Highlands, Orana/Far West, South East Sydney, Nepean, Central Coast, Far North Coast, Riverina/Murray, South West Sydney, Northern Sydney, Hunter, Mid North Coast, Illawarra, Central West, Inner West, Cumberland/Prospect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WA, SA, ACT, TAS, NT, VIC, QLD</t>
    </r>
  </si>
  <si>
    <t>City Plan Strategy &amp; Development Pty Ltd</t>
  </si>
  <si>
    <t>CITY PLAN STRATEGY &amp; DEVELOPMENT PTY LIMITED</t>
  </si>
  <si>
    <t>http://cityplan.com.au</t>
  </si>
  <si>
    <t>Kim Bennett</t>
  </si>
  <si>
    <t>Executive Assistant</t>
  </si>
  <si>
    <t>120 Sussex Street</t>
  </si>
  <si>
    <t>kimb@cityplan.com.au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</si>
  <si>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West Sydney, Northern Sydney, Hunter, Mid North Coast, Illawarra, Central West, Inner West, Cumberland/Prospect, New England, Southern Highlands, Orana/Far West, South East Sydney, Nepean, Central Coast, Far North Coast, Riverina/Murray
</t>
    </r>
  </si>
  <si>
    <t>Civic Associates Pty Limited</t>
  </si>
  <si>
    <t>CIVIC ASSOCIATES PTY LTD</t>
  </si>
  <si>
    <t>http://www.civicassociates.com.au</t>
  </si>
  <si>
    <t>Paulo Macchia</t>
  </si>
  <si>
    <t>PO Box 609</t>
  </si>
  <si>
    <t>paulo@civicassociates.com.au</t>
  </si>
  <si>
    <t>Civic Associates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</si>
  <si>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Nepean, Central Coast, Far North Coast, Riverina/Murray, South West Sydney, Northern Sydney, Hunter, Mid North Coast, Illawarra, Central West, Inner West, Cumberland/Prospect, New England, Southern Highlands, Orana/Far West, South East Sydney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TAS, NT, VIC, QLD, WA, SA, ACT</t>
    </r>
  </si>
  <si>
    <t>CLOUSTON Associates (Australia) Pty Ltd</t>
  </si>
  <si>
    <t>CLOUSTON ASSOCIATES (AUSTRALIA) PTY LTD</t>
  </si>
  <si>
    <t>http://www.clouston.com.au</t>
  </si>
  <si>
    <t>Crosbie Lorimer</t>
  </si>
  <si>
    <t>65-69 Kent Street</t>
  </si>
  <si>
    <t>Millers Point</t>
  </si>
  <si>
    <t>sydney@clouston.com.au</t>
  </si>
  <si>
    <t>CLOUSTON Associates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</si>
  <si>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Illawarra, Central West, Inner West, Cumberland/Prospect, New England, Southern Highlands, Orana/Far West, South East Sydney, Nepean, Central Coast, Far North Coast, Riverina/Murray, South West Sydney, Northern Sydney, Hunter, Mid North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QLD, WA, SA, ACT, TAS, NT</t>
    </r>
  </si>
  <si>
    <t>CM PLUS</t>
  </si>
  <si>
    <t>CONYBEARE MORRISON INTERNATIONAL PTY. LTD.</t>
  </si>
  <si>
    <t>http://cmplus.com.au</t>
  </si>
  <si>
    <t>Elizabeth Cranfield</t>
  </si>
  <si>
    <t>Associate + Bid Manager</t>
  </si>
  <si>
    <t>52-58 William Street</t>
  </si>
  <si>
    <t>East Sydney</t>
  </si>
  <si>
    <t>marketing@cmplus.com.au</t>
  </si>
  <si>
    <t>Conybeare Morrison International Pty Ltd</t>
  </si>
  <si>
    <t>CO-AP (Architects)</t>
  </si>
  <si>
    <t>http://www.co-ap.com</t>
  </si>
  <si>
    <t>William Fung</t>
  </si>
  <si>
    <t>Studio 3 / 283 Liverpool Street</t>
  </si>
  <si>
    <t>02 9380 9750</t>
  </si>
  <si>
    <t>0404 128 775</t>
  </si>
  <si>
    <t>will.fung@co-ap.com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</si>
  <si>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 CentralCoast, Hunter, Cumberland/Prospect, Nepean, Northern Sydney, Inner West,South East Sydney, South West Sydney, Central West, Orana/Far West,Riverina/Murray,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QLD, VIC</t>
    </r>
  </si>
  <si>
    <t>COLLARD MAXWELL ARCHITECTS</t>
  </si>
  <si>
    <t>COLLARD MAXWELL ARCHITECTS PTY LIMITED</t>
  </si>
  <si>
    <t>http://www.collard.com.au</t>
  </si>
  <si>
    <t>Charles Fortin</t>
  </si>
  <si>
    <t>Level 2</t>
  </si>
  <si>
    <t>97 Pacific Hwy</t>
  </si>
  <si>
    <t>cf@collard.com.au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</si>
  <si>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Riverina/Murray, South West Sydney, Northern Sydney, Hunter, Mid North Coast, Illawarra, Central West, Inner West, Cumberland/Prospect, New England, Southern Highlands, Orana/Far West, South East Sydney, Nepean, Central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NT, VIC, QLD, WA, SA, ACT</t>
    </r>
  </si>
  <si>
    <t>Colliers International Project Services Pty Ltd</t>
  </si>
  <si>
    <t>COLLIERS INTERNATIONAL PROJECT SERVICES PTY LTD</t>
  </si>
  <si>
    <t>http://www.colliers.com.au</t>
  </si>
  <si>
    <t>Kieron Hewitt</t>
  </si>
  <si>
    <t>National Director</t>
  </si>
  <si>
    <t>Level 30, 225 George St,</t>
  </si>
  <si>
    <t>bella.brant@colliers.com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</si>
  <si>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Illawarra, Central West, Inner West, Cumberland/Prospect, New England, Southern Highlands, Orana/Far West, South East Sydney, Nepean, Central Coast, Far North Coast, Riverina/Murray, South West Sydney, Northern Sydney, Hunter, Mid North Coast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QLD, WA, SA, ACT, TAS, NT</t>
    </r>
  </si>
  <si>
    <t>Collins and Turner Pty Ltd</t>
  </si>
  <si>
    <t>COLLINS AND TURNER PTY. LTD.</t>
  </si>
  <si>
    <t>http://www.collinsandturner.com</t>
  </si>
  <si>
    <t>Penny Collins</t>
  </si>
  <si>
    <t>Shop 1, 479 Bourke Street</t>
  </si>
  <si>
    <t>info@collinsandturner.com</t>
  </si>
  <si>
    <t>COLLINS CADDAYE ARCHITECTS</t>
  </si>
  <si>
    <t>COLLINS; CADDAYE &amp; ASSOCIATES PTY. LIMITED</t>
  </si>
  <si>
    <t>http://www.collinscaddaye.com.au</t>
  </si>
  <si>
    <t>Pip Harrington</t>
  </si>
  <si>
    <t>37 Canberra Ave</t>
  </si>
  <si>
    <t>Forrest</t>
  </si>
  <si>
    <t>info@collinscaddaye.com.au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</si>
  <si>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Southern Highlands, South East Sydney, South West Sydney, Illawarra, Inner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</si>
  <si>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Connor and Solomon Architects</t>
  </si>
  <si>
    <t>CONNOR &amp; SOLOMON</t>
  </si>
  <si>
    <t>http://www.coso.com.au</t>
  </si>
  <si>
    <t>Paul Connor</t>
  </si>
  <si>
    <t>Partner</t>
  </si>
  <si>
    <t>403-404/56 Bowman Street</t>
  </si>
  <si>
    <t>pcc@coso.com.au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</si>
  <si>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New England, Southern Highlands, Orana/Far West, South East Sydney, Nepean, Central Coast, Far North Coast, Riverina/Murray, South West Sydney, Northern Sydney, Hunter, Mid North Coast, Illawarra, Central West, Inner West, Cumberland/Prospect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</si>
  <si>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CONRAD GARGETT GROUP</t>
  </si>
  <si>
    <t>CONRAD GARGETT GROUP PTY LTD</t>
  </si>
  <si>
    <t>http://www.conradgargett.com.au</t>
  </si>
  <si>
    <t>Laura Cockburn</t>
  </si>
  <si>
    <t>22-36 Mountain Street, Suite 3.18</t>
  </si>
  <si>
    <t>Ultimo</t>
  </si>
  <si>
    <t>tenders@conradgargett.com.au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</si>
  <si>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Coast, Far North Coast, Riverina/Murray, South West Sydney, Northern Sydney, Hunter, Mid North Coast, Illawarra, Central West, Inner West, Cumberland/Prospect, New England, Southern Highlands, Orana/Far West, South East Sydney, Nepean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TAS, NT, VIC, QLD, WA, SA, ACT</t>
    </r>
  </si>
  <si>
    <t>CONTEXT LANDSCAPE DESIGN</t>
  </si>
  <si>
    <t>CONTEXT LANDSCAPE DESIGN PTY LTD</t>
  </si>
  <si>
    <t>http://www.context.net.au</t>
  </si>
  <si>
    <t>Hamish Dounan</t>
  </si>
  <si>
    <t>Level 2/52-58 William St</t>
  </si>
  <si>
    <t>Woolloomooloo</t>
  </si>
  <si>
    <t>context@context.net.au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</si>
  <si>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Central Coast, Far North Coast, Riverina/Murray, South West Sydney, Northern Sydney, Hunter, Mid North Coast, Illawarra, Central West, Inner West, Cumberland/Prospect, New England, Southern Highlands, Orana/Far West, South East Sydney, Nepean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NT, VIC, QLD, WA, SA, ACT</t>
    </r>
  </si>
  <si>
    <t>Contreras Earl Architecture</t>
  </si>
  <si>
    <t>CONTRERAS EARL ARCHITECTURE PTY LTD</t>
  </si>
  <si>
    <t>http://www.contrerasearl.com/</t>
  </si>
  <si>
    <t>Monica Earl</t>
  </si>
  <si>
    <t>3 Narla Road</t>
  </si>
  <si>
    <t>Bayview</t>
  </si>
  <si>
    <t>monica.earl@contrerasearl.com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</si>
  <si>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Coast, Far North Coast, Riverina/Murray, South West Sydney, Northern Sydney, Hunter, Mid North Coast, Illawarra, Central West, Inner West, Cumberland/Prospect, New England, Southern Highlands, Orana/Far West, South East Sydney, Nepean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NT, VIC, QLD, WA, SA, ACT</t>
    </r>
  </si>
  <si>
    <t>CORKERY CONSULTING</t>
  </si>
  <si>
    <t>CORKERY CONSULTING PTY LTD</t>
  </si>
  <si>
    <t>http://www.corkeryconsulting.com</t>
  </si>
  <si>
    <t>Noel Corkery</t>
  </si>
  <si>
    <t>Suite 3</t>
  </si>
  <si>
    <t>38 Albany St.</t>
  </si>
  <si>
    <t>St Leonards</t>
  </si>
  <si>
    <t>terry@corkeryconsulting.com</t>
  </si>
  <si>
    <t>Corkery Consulting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</si>
  <si>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Northern Sydney, Hunter, Mid North Coast, Illawarra, Central West, Inner West, Cumberland/Prospect, New England, Southern Highlands, Orana/Far West, South East Sydney, Nepean, Central Coast, Far North Coast, Riverina/Murray, South West Sydney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QLD, WA, SA, ACT, TAS, NT</t>
    </r>
  </si>
  <si>
    <t>Cottee Parker Architects Pty Ltd</t>
  </si>
  <si>
    <t>COTTEE PARKER ARCHITECTS PTY. LTD.</t>
  </si>
  <si>
    <t>http://www.cotteeparker.com.au</t>
  </si>
  <si>
    <t>Martin Timms</t>
  </si>
  <si>
    <t>Level 4</t>
  </si>
  <si>
    <t>50 Stanley Street</t>
  </si>
  <si>
    <t>nswtenders@cotteeparker.com.au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</si>
  <si>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Illawarra, Central West, Inner West, Cumberland/Prospect, New England, Southern Highlands, Orana/Far West, South East Sydney, Nepean, Central Coast, Far North Coast, Riverina/Murray, South West Sydney, Northern Sydney, Hunter, Mid North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WA, ACT, QLD</t>
    </r>
  </si>
  <si>
    <t>COX Architecture Pty Ltd</t>
  </si>
  <si>
    <t>COX ARCHITECTURE PTY LTD</t>
  </si>
  <si>
    <t>http://www.coxarchitecture.com.au</t>
  </si>
  <si>
    <t>Philip Graus</t>
  </si>
  <si>
    <t>204 Clarence Street</t>
  </si>
  <si>
    <t>katie.mckenna@cox.com.au</t>
  </si>
  <si>
    <t>COX Richardson Architects and Planners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</si>
  <si>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East Sydney, Nepean, Central Coast, South West Sydney, Northern Sydney, Hunter, Illawarra, Inner West, Cumberland/Prospect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QLD, VIC, WA</t>
    </r>
  </si>
  <si>
    <t>Crone Partners</t>
  </si>
  <si>
    <t>CRONE PARTNERS PTY LTD</t>
  </si>
  <si>
    <t>http://www.crone.com.au</t>
  </si>
  <si>
    <t>Gregory Crone</t>
  </si>
  <si>
    <t>CEO + Chairman</t>
  </si>
  <si>
    <t>Level 18</t>
  </si>
  <si>
    <t>680 George Street</t>
  </si>
  <si>
    <t>info@crone.com.au</t>
  </si>
  <si>
    <t>Crone Partners Pty Ltd</t>
  </si>
  <si>
    <t>Cullen Feng Pty Ltd</t>
  </si>
  <si>
    <t>CULLEN FENG PTY LTD</t>
  </si>
  <si>
    <t>http://www.cullenfeng.com.au</t>
  </si>
  <si>
    <t>Jon Cullen</t>
  </si>
  <si>
    <t>303/77 Dunning Avenue</t>
  </si>
  <si>
    <t>jc@cullenfeng.com.au</t>
  </si>
  <si>
    <t>Custance Associates Australia Pty Ltd</t>
  </si>
  <si>
    <t>http://www.custance.com.au</t>
  </si>
  <si>
    <t>craig shelsher</t>
  </si>
  <si>
    <t>228 Pitt Street</t>
  </si>
  <si>
    <t>craig@custance.com.au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</si>
  <si>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Coast, Far North Coast, Riverina/Murray, South West Sydney, Northern Sydney, Hunter, Mid North Coast, Illawarra, Central West, Inner West, Cumberland/Prospect, New England, Southern Highlands, Orana/Far West, South East Sydney, Nepean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QLD</t>
    </r>
  </si>
  <si>
    <t>D Squared Consulting Pty Ltd</t>
  </si>
  <si>
    <t>D SQUARED CONSULTING PTY LTD</t>
  </si>
  <si>
    <t>http://www.dsquaredconsulting.com.au</t>
  </si>
  <si>
    <t>Paul Davy</t>
  </si>
  <si>
    <t>Suite 5</t>
  </si>
  <si>
    <t>241 Pirie Street</t>
  </si>
  <si>
    <t>paul@dsquaredconsulting.com.au</t>
  </si>
  <si>
    <t>dsquared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</si>
  <si>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Mid North Coast, Illawarra, Central West, Inner West, Cumberland/Prospect, New England, Southern Highlands, Orana/Far West, South East Sydney, Nepean, Central Coast, Far North Coast, Riverina/Murray, South West Sydney, Northern Sydney, Hunter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QLD, WA, SA, ACT, TAS, NT</t>
    </r>
  </si>
  <si>
    <t>DAVENPORT CAMPBELL &amp; PARTNERS PTY LTD</t>
  </si>
  <si>
    <t>DAVENPORT CAMPBELL &amp; PARTNERS PTY LIMITED</t>
  </si>
  <si>
    <t>http://www.davenport-campbell.com.au</t>
  </si>
  <si>
    <t>Jane Alexander</t>
  </si>
  <si>
    <t>Studio Director</t>
  </si>
  <si>
    <t>Level 4, 122 Pitt St</t>
  </si>
  <si>
    <t>dcinfo@davenport-campbell.com.au</t>
  </si>
  <si>
    <t>DEM (Aust) Pty Ltd</t>
  </si>
  <si>
    <t>DEM (AUST) PTY LIMITED</t>
  </si>
  <si>
    <t>http://www.dem.com.au</t>
  </si>
  <si>
    <t>Rudi Valla</t>
  </si>
  <si>
    <t>Managing Partner</t>
  </si>
  <si>
    <t>Suite 202, Level 2, Building B, The Zenith</t>
  </si>
  <si>
    <t>821 Pacific Hwy</t>
  </si>
  <si>
    <t>Chatswood</t>
  </si>
  <si>
    <t>tenders@dem.com.au</t>
  </si>
  <si>
    <t>DENTON CORKER MARSHALL PTY LTD 
ATF DCM TRUST</t>
  </si>
  <si>
    <t>The Trustee for DCM Trust</t>
  </si>
  <si>
    <t>Liza Power</t>
  </si>
  <si>
    <t>Opportunities Manager</t>
  </si>
  <si>
    <t>Level 19</t>
  </si>
  <si>
    <t>55 Collins Street</t>
  </si>
  <si>
    <t>VIC</t>
  </si>
  <si>
    <t>submissions@dentoncorkermarshall.com</t>
  </si>
  <si>
    <t>derix + associates</t>
  </si>
  <si>
    <t>DERIX,CHRISTIANWILHELM</t>
  </si>
  <si>
    <t>https://derixassociates.com</t>
  </si>
  <si>
    <t>Christian Derix</t>
  </si>
  <si>
    <t>11 Mary Street</t>
  </si>
  <si>
    <t>Lilyfield</t>
  </si>
  <si>
    <t>0428 836 364</t>
  </si>
  <si>
    <t>christian@derixassociates.com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</si>
  <si>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Coast, Cumberland/Prospect, Nepean, NorthernSydney, Inner West, South East Sydney, South West Sydney</t>
    </r>
  </si>
  <si>
    <t>DESIGNINC SYDNEY PTY LIMITED</t>
  </si>
  <si>
    <t>http://www.designinc.com.au</t>
  </si>
  <si>
    <t>submission@sydney.designinc.com.au</t>
  </si>
  <si>
    <t>DJRD Pty Ltd</t>
  </si>
  <si>
    <t>DJRD UNIT TRUST</t>
  </si>
  <si>
    <t>http://www.djrd.com.au</t>
  </si>
  <si>
    <t>Daniel Beekwilder</t>
  </si>
  <si>
    <t>63 Myrtle Street</t>
  </si>
  <si>
    <t>dbeekwilder@djrd.com.au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</si>
  <si>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Riverina/Murray, South West Sydney, Northern Sydney, Hunter, Mid North Coast, Illawarra, Central West, Inner West, Cumberland/Prospect, New England, Southern Highlands, Orana/Far West, South East Sydney, Nepean, Central Coast, Far North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</si>
  <si>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DKO ARCHITECTURE (NSW) UNIT TRUST</t>
  </si>
  <si>
    <t>The Trustee for DKO ARCHITECTURE (NSW)</t>
  </si>
  <si>
    <t>http://www.dko.com.au</t>
  </si>
  <si>
    <t>David Randerson</t>
  </si>
  <si>
    <t>42 Davies Street</t>
  </si>
  <si>
    <t>david.randerson@dko.com.au</t>
  </si>
  <si>
    <t>DKO Architecture</t>
  </si>
  <si>
    <t>Dunn &amp; Hillam Architects</t>
  </si>
  <si>
    <t>WORKSHOP 1 PTY LTD</t>
  </si>
  <si>
    <t>http://www.dunnhillam.com.au</t>
  </si>
  <si>
    <t>Ashley Dunn</t>
  </si>
  <si>
    <t>33 Salisbury Street</t>
  </si>
  <si>
    <t>Botany</t>
  </si>
  <si>
    <t>ashley@dunnhillam.com.au</t>
  </si>
  <si>
    <t>Durbach Block Jaggers Architects</t>
  </si>
  <si>
    <t>DURBACH BLOCK JAGGERS ARCHITECTS PTY LTD</t>
  </si>
  <si>
    <t>http://www.durbachblockjaggers.com</t>
  </si>
  <si>
    <t>David Jaggers</t>
  </si>
  <si>
    <t>9 Roslyn Street</t>
  </si>
  <si>
    <t>mail@durbachblock.com</t>
  </si>
  <si>
    <t>dwp Australia Pty Ltd</t>
  </si>
  <si>
    <t>DWP AUSTRALIA PTY LTD</t>
  </si>
  <si>
    <t>http://www.dwp.com</t>
  </si>
  <si>
    <t>Hilary Spiers</t>
  </si>
  <si>
    <t>Managing Principal</t>
  </si>
  <si>
    <t>Suite 2</t>
  </si>
  <si>
    <t>19 Harris Street</t>
  </si>
  <si>
    <t>cameron.m@dwp.com</t>
  </si>
  <si>
    <t>dwp|suters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</si>
  <si>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Nepean, Central Coast, Far North Coast, Riverina/Murray, South West Sydney, Northern Sydney, Hunter, Mid North Coast, Illawarra, Central West, Inner West, Cumberland/Prospect, New England, Southern Highlands, Orana/Far West, South East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NT, VIC, QLD, WA, SA, ACT</t>
    </r>
  </si>
  <si>
    <t>e8urban pty ltd</t>
  </si>
  <si>
    <t>E8URBAN PTY LTD</t>
  </si>
  <si>
    <t>http://www.e8urban.com</t>
  </si>
  <si>
    <t>Joe Rowling</t>
  </si>
  <si>
    <t>Company Director</t>
  </si>
  <si>
    <t>Suite 16</t>
  </si>
  <si>
    <t>79-81 Old South Head Road</t>
  </si>
  <si>
    <t>joe.rowling@e8urban.com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</si>
  <si>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East Sydney, Nepean, Central Coast, Far North Coast, Riverina/Murray, South West Sydney, Northern Sydney, Hunter, Mid North Coast, Illawarra, Central West, Inner West, Cumberland/Prospect, New England, Southern Highlands, Orana/Far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TAS, NT, VIC, QLD, WA, SA</t>
    </r>
  </si>
  <si>
    <t>Edmiston Jones</t>
  </si>
  <si>
    <t>EDMISTON JONES PTY LTD</t>
  </si>
  <si>
    <t>http://www.aej.com.au</t>
  </si>
  <si>
    <t>Stuart Scobie</t>
  </si>
  <si>
    <t>Senior Landscape Architect</t>
  </si>
  <si>
    <t>Suite 4</t>
  </si>
  <si>
    <t>1 North Street</t>
  </si>
  <si>
    <t>Batemans bay</t>
  </si>
  <si>
    <t>stuarts@aej.com.au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</si>
  <si>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Riverina/Murray,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</si>
  <si>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Eeles Trelease Pty Ltd</t>
  </si>
  <si>
    <t>EELES TRELEASE PTY. LTD.</t>
  </si>
  <si>
    <t>http://www.eelestrelease.com</t>
  </si>
  <si>
    <t>Kathryn Trelease</t>
  </si>
  <si>
    <t>Level 1</t>
  </si>
  <si>
    <t>17-20 Federation Road</t>
  </si>
  <si>
    <t>studio@eelestrelease.com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</si>
  <si>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Central West, Inner West, Cumberland/Prospect, New England, Riverina/Murray, South East Sydney, Nepean, Central Coast, Illawarra, South West Sydney, Northern Sydney, Hunter, Mid North Coast,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SA</t>
    </r>
  </si>
  <si>
    <t>EnvironmentalPartnership (NSW) Pty Ltd</t>
  </si>
  <si>
    <t>ENVIRONMENTALPARTNERSHIP (NSW) PTY LTD</t>
  </si>
  <si>
    <t>http://www.epnsw.com.au</t>
  </si>
  <si>
    <t>Adam Hunter</t>
  </si>
  <si>
    <t>Director / Principal Landscape Architect</t>
  </si>
  <si>
    <t>Suite 3.01</t>
  </si>
  <si>
    <t>22-36 Mountain Street</t>
  </si>
  <si>
    <t>02 9281 7007</t>
  </si>
  <si>
    <t>0412 742 305</t>
  </si>
  <si>
    <t>nicole.e@epnsw.com.au</t>
  </si>
  <si>
    <t>088175437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</si>
  <si>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 CentralCoast, Hunter, Cumberland/Prospect, Nepean, Northern Sydney, Inner West,South East Sydney, South West Sydney, Central West, Orana/Far West,Riverina/Murray, Illawarra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QLD</t>
    </r>
  </si>
  <si>
    <t>Eoghan Lewis Architects</t>
  </si>
  <si>
    <t>LEWIS, EOGHAN</t>
  </si>
  <si>
    <t>http://www.eoghanlewis.com.au</t>
  </si>
  <si>
    <t>Eoghan Lewis</t>
  </si>
  <si>
    <t>Studio 206</t>
  </si>
  <si>
    <t>61 Marlborough Street</t>
  </si>
  <si>
    <t>studio@eoghanlewis.com.au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</si>
  <si>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Cumberland/Prospect, South East Sydney, Nepean, South West Sydney, Northern Sydney, Inner West
</t>
    </r>
  </si>
  <si>
    <t>Ethos Urban</t>
  </si>
  <si>
    <t>ETHOS URBAN PTY LTD</t>
  </si>
  <si>
    <t>https://ethosurban.com/</t>
  </si>
  <si>
    <t>Urban design: Kate Newson -  Stakeholder Engagement and Management: Fay Edwards - Project Governance and Management: Timothy Chee</t>
  </si>
  <si>
    <t>Urban design: Marketing Coordinator -  Stakeholder Engagement and Management: Urbanist - Project Governance and Management: Senior, Project Management</t>
  </si>
  <si>
    <t>173 Sussex Street</t>
  </si>
  <si>
    <t>Urban design: 029956 6962 -  Stakeholder Engagement and Management: 0421600893 - Project Governance and Management: 0299566962</t>
  </si>
  <si>
    <t>Urban design:   -  Stakeholder Engagement and Management: 0421600893</t>
  </si>
  <si>
    <t>syd-tenders@ethosurban.com</t>
  </si>
  <si>
    <r>
      <rPr>
        <b/>
        <sz val="14"/>
        <color theme="1"/>
        <rFont val="Arial"/>
        <family val="2"/>
      </rPr>
      <t>Urban design:</t>
    </r>
    <r>
      <rPr>
        <sz val="14"/>
        <color theme="1"/>
        <rFont val="Arial"/>
        <family val="2"/>
      </rPr>
      <t xml:space="preserve"> 0-19 ,  </t>
    </r>
    <r>
      <rPr>
        <b/>
        <sz val="14"/>
        <color theme="1"/>
        <rFont val="Arial"/>
        <family val="2"/>
      </rPr>
      <t>Stakeholder Engagement and Management:</t>
    </r>
    <r>
      <rPr>
        <sz val="14"/>
        <color theme="1"/>
        <rFont val="Arial"/>
        <family val="2"/>
      </rPr>
      <t xml:space="preserve"> 101-200, </t>
    </r>
    <r>
      <rPr>
        <b/>
        <sz val="14"/>
        <color theme="1"/>
        <rFont val="Arial"/>
        <family val="2"/>
      </rPr>
      <t>Project Governance and Management:</t>
    </r>
    <r>
      <rPr>
        <sz val="14"/>
        <color theme="1"/>
        <rFont val="Arial"/>
        <family val="2"/>
      </rPr>
      <t xml:space="preserve"> 101-200</t>
    </r>
  </si>
  <si>
    <r>
      <t xml:space="preserve">NSW Regions: </t>
    </r>
    <r>
      <rPr>
        <sz val="14"/>
        <color theme="1"/>
        <rFont val="Arial"/>
        <family val="2"/>
      </rPr>
      <t>Central West, Inner West, Cumberland/Prospect, New England, Southern Highlands, Orana/Far West, South East Sydney, Nepean, Central Coast, Far North Coast, Riverina/Murray, South West Sydney, Northern Sydney, Hunter, Mid North Coast, Illawarra</t>
    </r>
    <r>
      <rPr>
        <b/>
        <sz val="14"/>
        <color theme="1"/>
        <rFont val="Arial"/>
        <family val="2"/>
      </rPr>
      <t xml:space="preserve">
States and Territories: </t>
    </r>
    <r>
      <rPr>
        <sz val="14"/>
        <color theme="1"/>
        <rFont val="Arial"/>
        <family val="2"/>
      </rPr>
      <t>QLD, WA, SA, ACT, TAS, NT, VIC</t>
    </r>
  </si>
  <si>
    <t>Eximia Design</t>
  </si>
  <si>
    <t xml:space="preserve">Eximia Design Pty Ltd </t>
  </si>
  <si>
    <t>https://eximiadesign.com.au/</t>
  </si>
  <si>
    <t>Scott Ibbotson</t>
  </si>
  <si>
    <t>Founder</t>
  </si>
  <si>
    <t>20B Engadine Ave</t>
  </si>
  <si>
    <t>Engadine</t>
  </si>
  <si>
    <t>0423 414 200</t>
  </si>
  <si>
    <t>scott.ibbotson@eximiadesign.com.au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</si>
  <si>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England,Central Coast, Hunter, Cumberland/Prospect, Nepean, NorthernSydney, Inner West, South East Sydney, South West Sydney, Illawarra,Southern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NT, QLD, SA, TAS, VIC, WA</t>
    </r>
  </si>
  <si>
    <t>Fender Katsalidis</t>
  </si>
  <si>
    <t>FENDER KATSALIDIS (AUST) PTY LTD</t>
  </si>
  <si>
    <t>http://fkaustralia.com</t>
  </si>
  <si>
    <t>Peta Michaelides</t>
  </si>
  <si>
    <t>Marketing and Client Relations</t>
  </si>
  <si>
    <t>Level 21</t>
  </si>
  <si>
    <t>259 George Street</t>
  </si>
  <si>
    <t>pmichaelides@fkaustralia.com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</si>
  <si>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Central West, Inner West, Cumberland/Prospect, New England, Southern Highlands, Orana/Far West, South East Sydney, Nepean, Central Coast, Far North Coast, Riverina/Murray, South West Sydney, Northern Sydney, Hunter, Mid North Coast, Illawarra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ACT, QLD, TAS</t>
    </r>
  </si>
  <si>
    <t>Fitzpatrick &amp; Partners Pty Ltd</t>
  </si>
  <si>
    <t>FITZPATRICK &amp; PARTNERS PTY LTD</t>
  </si>
  <si>
    <t>http://www.fitzpatrickpartners.com</t>
  </si>
  <si>
    <t>James Fitzpatrick</t>
  </si>
  <si>
    <t>Managing Partner - Design</t>
  </si>
  <si>
    <t>Level 6</t>
  </si>
  <si>
    <t>156 Clarence Street</t>
  </si>
  <si>
    <t>jamesf@fitzpatrickpartners.com</t>
  </si>
  <si>
    <t>fitzpatrick+partners pty ltd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</si>
  <si>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Cumberland/Prospect, New England, Southern Highlands, Orana/Far West, South East Sydney, Nepean, Central Coast, Far North Coast, Riverina/Murray, South West Sydney, Northern Sydney, Hunter, Mid North Coast, Illawarra, Central West, Inner West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WA, SA, ACT, TAS, NT, VIC, QLD</t>
    </r>
  </si>
  <si>
    <t>DIRECTOR</t>
  </si>
  <si>
    <t>LEVEL 1</t>
  </si>
  <si>
    <t>268A DEVONSHIRE STREET</t>
  </si>
  <si>
    <t>FRANCIS-JONES MOREHEN THORP</t>
  </si>
  <si>
    <t>FRANCIS-JONES MOREHEN THORP PTY LTD</t>
  </si>
  <si>
    <t>http://fjmtstudio.com</t>
  </si>
  <si>
    <t>Jeff Morehen</t>
  </si>
  <si>
    <t>Level 5</t>
  </si>
  <si>
    <t>70 King Street</t>
  </si>
  <si>
    <t>tenders@fjmtstudio.com</t>
  </si>
  <si>
    <t>Fulcrum Agency</t>
  </si>
  <si>
    <t>The Trustee for Chester Family Trust</t>
  </si>
  <si>
    <t>http://thefulcrum.agency</t>
  </si>
  <si>
    <t>Kieran Wong</t>
  </si>
  <si>
    <t>11 Suffolk Street</t>
  </si>
  <si>
    <t>Fremantle</t>
  </si>
  <si>
    <t>WA</t>
  </si>
  <si>
    <t>info@thefulcrum.agency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</si>
  <si>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East Sydney, Nepean, Central Coast, Far North Coast, Riverina/Murray, South West Sydney, Northern Sydney, Hunter, Mid North Coast, Illawarra, Central West, Inner West, Cumberland/Prospect, New England, Southern Highlands, Orana/Far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NT, WA</t>
    </r>
  </si>
  <si>
    <t>Fulton Trotter Architects</t>
  </si>
  <si>
    <t>Fulton Trotter and Partners Architects Pty Ltd ATF FTPA (GI) Trust &amp; Others</t>
  </si>
  <si>
    <t>http://www.fultontrotter.com.au</t>
  </si>
  <si>
    <t>Greg Isaac</t>
  </si>
  <si>
    <t>35 Spring Street</t>
  </si>
  <si>
    <t>business@fultontrotter.com.au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</si>
  <si>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Mid North Coast, Illawarra, Central West, Inner West, Cumberland/Prospect, New England, Southern Highlands, Orana/Far West, South East Sydney, Nepean, Central Coast, Far North Coast, Riverina/Murray, South West Sydney, Northern Sydney, Hunter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QLD, WA, SA, ACT, TAS, NT</t>
    </r>
  </si>
  <si>
    <t>FURTADO SULLIVAN</t>
  </si>
  <si>
    <t>FURTADO SULLIVAN PTY LIMITED</t>
  </si>
  <si>
    <t>http://www.furtadosullivan.com</t>
  </si>
  <si>
    <t>Peter Sullivan</t>
  </si>
  <si>
    <t>205 / 61 Marlborough St</t>
  </si>
  <si>
    <t>contact@furtadosullivan.com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</si>
  <si>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West Sydney, Northern Sydney, Hunter, Mid North Coast, Illawarra, Central West, Inner West, Cumberland/Prospect, New England, Southern Highlands, Orana/Far West, South East Sydney, Nepean, Central Coast, Far North Coast, Riverina/Murray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QLD</t>
    </r>
  </si>
  <si>
    <t>Gallagher Studio PTY LTD</t>
  </si>
  <si>
    <t>GALLAGHER STUDIO PTY LTD</t>
  </si>
  <si>
    <t>http://www.gallagherstudio.com.au</t>
  </si>
  <si>
    <t>Libby Gallagher</t>
  </si>
  <si>
    <t>Studio 10, 151 Foveaux Street , Surry Hills 2010</t>
  </si>
  <si>
    <t>libby@gallagherstudio.com.au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</si>
  <si>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Illawarra, Central West, Inner West, Cumberland/Prospect, New England, Southern Highlands, Orana/Far West, South East Sydney, Nepean, Central Coast, Far North Coast, Riverina/Murray, South West Sydney, Northern Sydney, Hunter, Mid North Coast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ACT</t>
    </r>
  </si>
  <si>
    <t xml:space="preserve">Gento Pty Ltd </t>
  </si>
  <si>
    <t>GENTON PTY. LIMITED</t>
  </si>
  <si>
    <t>http://www.genton.com.au</t>
  </si>
  <si>
    <t>Steven Toia</t>
  </si>
  <si>
    <t>Ground Floor 71 York Street</t>
  </si>
  <si>
    <t>future@genton.com.au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</si>
  <si>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East Sydney, Nepean, Central Coast, Far North Coast, Riverina/Murray, South West Sydney, Northern Sydney, Hunter, Mid North Coast, Illawarra, Central West, Inner West, Cumberland/Prospect, New England, Southern Highlands, Orana/Far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VIC, WA, QLD</t>
    </r>
  </si>
  <si>
    <t>GHD</t>
  </si>
  <si>
    <t>GHD PTY LTD</t>
  </si>
  <si>
    <t>http://www.ghdwoodhead.com</t>
  </si>
  <si>
    <t>Nicolas Beaulieu-Asselin</t>
  </si>
  <si>
    <t>Level 15</t>
  </si>
  <si>
    <t>133 Castlereagh Street</t>
  </si>
  <si>
    <t>sydtenders@ghd.com</t>
  </si>
  <si>
    <t>GHD Pty Ltd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</si>
  <si>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Southern Highlands, Orana/Far West, South East Sydney, Nepean, Central Coast, Far North Coast, Riverina/Murray, South West Sydney, Northern Sydney, Hunter, Mid North Coast, Illawarra, Central West, Inner West, Cumberland/Prospect, New England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WA, SA, ACT, TAS, NT, VIC, QLD</t>
    </r>
  </si>
  <si>
    <t>Global South Pty Ltd</t>
  </si>
  <si>
    <t>The Trustee for McPherson Family Trust</t>
  </si>
  <si>
    <t>https://globalsouth.net.au/</t>
  </si>
  <si>
    <t>Simon McPherson</t>
  </si>
  <si>
    <t>24C Foam Street</t>
  </si>
  <si>
    <t>Elwood</t>
  </si>
  <si>
    <t>simon.mcpherson@globalsouth.net.au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</si>
  <si>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East Sydney, Nepean, Central Coast, Far North Coast, Riverina/Murray, South West Sydney, Northern Sydney, Hunter, Mid North Coast, Illawarra, Central West, Inner West, Cumberland/Prospect, New England, Southern Highlands, Orana/Far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SA, VIC</t>
    </r>
  </si>
  <si>
    <t>GM Urban Design &amp; Architecture Pty Ltd</t>
  </si>
  <si>
    <t>http://www.gmu.com.au</t>
  </si>
  <si>
    <t>Gabrielle Morrish</t>
  </si>
  <si>
    <t>Studio 803/ Level 8</t>
  </si>
  <si>
    <t>75 Miller Street</t>
  </si>
  <si>
    <t>finance@gmu.com.au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</si>
  <si>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Southern Highlands, Orana/Far West, South East Sydney, Nepean, Central Coast, Far North Coast, Riverina/Murray, South West Sydney, Northern Sydney, Hunter, Mid North Coast, Illawarra, Central West, Inner West, Cumberland/Prospect, New England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WA, SA, ACT, TAS, NT, VIC, QLD</t>
    </r>
  </si>
  <si>
    <t>Gresley Abas</t>
  </si>
  <si>
    <t>GRESLEY ABAS PTY LTD</t>
  </si>
  <si>
    <t>http://www.gresleyabas.com.au</t>
  </si>
  <si>
    <t>Ahmad Abas</t>
  </si>
  <si>
    <t>10 York Street</t>
  </si>
  <si>
    <t>Richmond</t>
  </si>
  <si>
    <t>ahmad@gresleyabas.com.au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</si>
  <si>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South West Sydney, Northern Sydney, Hunter, Mid North Coast, Illawarra, Central West, Inner West, Cumberland/Prospect, New England, Southern Highlands, Orana/Far West, South East Sydney, Nepean, Central Coast, Far North Coast, Riverina/Murray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NT, VIC, QLD, WA, SA, ACT, TAS</t>
    </r>
  </si>
  <si>
    <t>GRIMSHAW ARCHITECTS PTY LTD</t>
  </si>
  <si>
    <t>Cassie Newman</t>
  </si>
  <si>
    <t>cassie.newman@grimshaw.global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</si>
  <si>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Northern Sydney, Hunter, Mid North Coast, Illawarra, Central West, Inner West, Cumberland/Prospect, New England, Southern Highlands, Orana/Far West, South East Sydney, Nepean, Central Coast, Far North Coast, Riverina/Murray, South West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QLD, WA, SA, ACT, TAS, NT</t>
    </r>
  </si>
  <si>
    <t>GROUP GSA PTY LTD</t>
  </si>
  <si>
    <t>http://www.groupgsa.com</t>
  </si>
  <si>
    <t>Michael Mandl</t>
  </si>
  <si>
    <t>Level 7, 80 William Street</t>
  </si>
  <si>
    <t>tenders@groupgsa.com</t>
  </si>
  <si>
    <t>GroupGSA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</si>
  <si>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West Sydney, Northern Sydney, Hunter, Mid North Coast, Illawarra, Central West, Inner West, Cumberland/Prospect, New England, Southern Highlands, Orana/Far West, South East Sydney, Nepean, Central Coast, Far North Coast, Riverina/Murray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NT, VIC, QLD, WA, SA, ACT, TAS</t>
    </r>
  </si>
  <si>
    <t>Hames Sharley (NSW) Pty Ltd</t>
  </si>
  <si>
    <t>http://www.hamessharley.com.au</t>
  </si>
  <si>
    <t>Ron Bridgefoot</t>
  </si>
  <si>
    <t>Level 7, 46 Market Street, Sydney</t>
  </si>
  <si>
    <t>Nsw@hamessharley.com.au</t>
  </si>
  <si>
    <t>HASSELL STUDIO</t>
  </si>
  <si>
    <t>HASSELL LTD</t>
  </si>
  <si>
    <t>http://hassellstudio.com</t>
  </si>
  <si>
    <t>Philippa Kearney</t>
  </si>
  <si>
    <t>Business Development Manager</t>
  </si>
  <si>
    <t>Level 2, Pier 8/9</t>
  </si>
  <si>
    <t>23 Hickson Road</t>
  </si>
  <si>
    <t>sydneytenders@hassellstudio.com</t>
  </si>
  <si>
    <t>HASSELL Ltd</t>
  </si>
  <si>
    <t>HAYBALL PROJECT MANAGEMENT</t>
  </si>
  <si>
    <t>HAYBALL PTY LTD</t>
  </si>
  <si>
    <t>http://www.hayball.com.au</t>
  </si>
  <si>
    <t>David Tordoff</t>
  </si>
  <si>
    <t>Ground Floor, 11-17 Buckingham Streey</t>
  </si>
  <si>
    <t>ttzanlis@hayball.com.au</t>
  </si>
  <si>
    <t>HILL THALIS ARCHITECTURE AND URBAN PROJECTS PTY LTD</t>
  </si>
  <si>
    <t>HILL THALIS ARCHITECTURE &amp; URBAN PROJECTS PTY LTD</t>
  </si>
  <si>
    <t>http://www.hillthalis.com.au/</t>
  </si>
  <si>
    <t>Philip Thalis</t>
  </si>
  <si>
    <t>L5 68-72 Wentworth Avenue</t>
  </si>
  <si>
    <t>admin@hillthalis.com.au</t>
  </si>
  <si>
    <t>HKA GLOBAL PTY LTD</t>
  </si>
  <si>
    <t>http://www.hka.com</t>
  </si>
  <si>
    <t>Alistair Mein</t>
  </si>
  <si>
    <t>Level 1, 1 Hickson Road</t>
  </si>
  <si>
    <t>The Rocks</t>
  </si>
  <si>
    <t>alistairmein@hka.com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</si>
  <si>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Orana/Far West, South East Sydney, Nepean, Central Coast, Far North Coast, Riverina/Murray, South West Sydney, Northern Sydney, Hunter, Mid North Coast, Illawarra, Central West, Inner West, Cumberland/Prospect, New England, Southern Highlands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SA, ACT, TAS, NT, VIC, QLD, WA</t>
    </r>
  </si>
  <si>
    <t>Idogreen P/L</t>
  </si>
  <si>
    <t>GREEN DALE &amp; WRIGHT UNIT TRUST</t>
  </si>
  <si>
    <t>http://www.greenanddale.com.au</t>
  </si>
  <si>
    <t>Stuart Green</t>
  </si>
  <si>
    <t>13 Boyd Street</t>
  </si>
  <si>
    <t>North Warrandyte</t>
  </si>
  <si>
    <t>sgreen@greenanddale.com.au</t>
  </si>
  <si>
    <t>Green &amp; Dale Associates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</si>
  <si>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Nepean, South West Sydney, Northern Sydney, Inner West, Cumberland/Prospect, South East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VIC, SA</t>
    </r>
  </si>
  <si>
    <t>ineni Realtime Pty Ltd</t>
  </si>
  <si>
    <t>INENI REALTIME PTY LTD</t>
  </si>
  <si>
    <t>http://www.ineni.co/</t>
  </si>
  <si>
    <t>Jeremy Harkins</t>
  </si>
  <si>
    <t>68 Wentworth Avenue</t>
  </si>
  <si>
    <t>jeremy@ineni.co</t>
  </si>
  <si>
    <t>ineni Realtime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</si>
  <si>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Orana/Far West, South East Sydney, Nepean, Central Coast, Far North Coast, Riverina/Murray, South West Sydney, Northern Sydney, Hunter, Mid North Coast, Illawarra, Central West, Inner West, Cumberland/Prospect, New England,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SA, ACT, TAS, NT, VIC, QLD, WA</t>
    </r>
  </si>
  <si>
    <t>Infrastructure Services Group Pty Ltd</t>
  </si>
  <si>
    <t>The Trustee for ONTOIT UNIT TRUST</t>
  </si>
  <si>
    <t>https://www.ontoit.com/</t>
  </si>
  <si>
    <t>Arvind David</t>
  </si>
  <si>
    <t>150 Collins Street</t>
  </si>
  <si>
    <t>info@ontoit.com</t>
  </si>
  <si>
    <t>ISG Projects</t>
  </si>
  <si>
    <t>Integrated Design Group Pty Limited</t>
  </si>
  <si>
    <t>INTEGRATED DESIGN GROUP PTY LIMITED</t>
  </si>
  <si>
    <t>http://www.idgarchitects.com.au</t>
  </si>
  <si>
    <t>Karen Grant</t>
  </si>
  <si>
    <t>Operations Manager</t>
  </si>
  <si>
    <t>50 Bentinck Street</t>
  </si>
  <si>
    <t>Bathurst</t>
  </si>
  <si>
    <t>kareng@idgarchitects.com.au</t>
  </si>
  <si>
    <t>JACKSON TEECE</t>
  </si>
  <si>
    <t>JACKSON TEECE CHESTERMAN WILLIS PTY LTD</t>
  </si>
  <si>
    <t>http://jacksonteece.com</t>
  </si>
  <si>
    <t>Damian Barker</t>
  </si>
  <si>
    <t>Lot 1, Pier 8/9, 23 Hickson Road</t>
  </si>
  <si>
    <t>Walsh Bay</t>
  </si>
  <si>
    <t>cargyrou@jacksonteece.com</t>
  </si>
  <si>
    <t>Jackson Teece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</si>
  <si>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Central West, Inner West, Cumberland/Prospect, New England, Southern Highlands, Orana/Far West, South East Sydney, Nepean, Central Coast, Far North Coast, Riverina/Murray, South West Sydney, Northern Sydney, Hunter, Mid North Coast, Illawarra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QLD</t>
    </r>
  </si>
  <si>
    <t>Jacobs-Aquenta</t>
  </si>
  <si>
    <t>JACOBS GROUP (AUSTRALIA) PTY LTD</t>
  </si>
  <si>
    <t>Nando Nicotra</t>
  </si>
  <si>
    <t>Panel Manager</t>
  </si>
  <si>
    <t>100 Christie Street</t>
  </si>
  <si>
    <t>nando.nicotra@jacobs.com</t>
  </si>
  <si>
    <t>Jacobs</t>
  </si>
  <si>
    <t>James Mather Delaney Design Pty Ltd</t>
  </si>
  <si>
    <t>http://www.jmddesign.com.au</t>
  </si>
  <si>
    <t>James Delaney</t>
  </si>
  <si>
    <t>190 James Street</t>
  </si>
  <si>
    <t>info@jmddesign.com.au</t>
  </si>
  <si>
    <t>JMDdesign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</si>
  <si>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West Sydney, Northern Sydney, Hunter, Mid North Coast, Illawarra, Central West, Inner West, Cumberland/Prospect, New England, Southern Highlands, Orana/Far West, South East Sydney, Nepean, Central Coast, Far North Coast, Riverina/Murray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NT, VIC, QLD, WA, SA, ACT, TAS</t>
    </r>
  </si>
  <si>
    <t>Jane Irwin Landscape Architecture Pty Ltd</t>
  </si>
  <si>
    <t>http://www.jila.net.au</t>
  </si>
  <si>
    <t>JANE IRWIN</t>
  </si>
  <si>
    <t>Studio 203 61 Marlborough Street</t>
  </si>
  <si>
    <t>info@jila.net.au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</si>
  <si>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West Sydney, Northern Sydney, Hunter, Mid North Coast, Illawarra, Central West, Inner West, Cumberland/Prospect, New England, Southern Highlands, Orana/Far West, South East Sydney, Nepean, Central Coast, Far North Coast, Riverina/Murray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</si>
  <si>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JOC Consulting</t>
  </si>
  <si>
    <t>JOC CONSULTING PTY. LTD.</t>
  </si>
  <si>
    <t>http://www.jocconsulting.com.au</t>
  </si>
  <si>
    <t>John O'Callaghan</t>
  </si>
  <si>
    <t>12/2 Clapton Place</t>
  </si>
  <si>
    <t>john@jocconsulting.com.au</t>
  </si>
  <si>
    <t>JOC Consulting Pty Ltd</t>
  </si>
  <si>
    <t>John McAslan + Partners (Australia)</t>
  </si>
  <si>
    <t>JOHN MCASLAN &amp; PARTNERS (AUSTRALIA) PTY LTD</t>
  </si>
  <si>
    <t>https://www.mcaslan.co.uk/</t>
  </si>
  <si>
    <t>Emily Ramsay</t>
  </si>
  <si>
    <t>Bid Manager</t>
  </si>
  <si>
    <t>35 Buckingham Street</t>
  </si>
  <si>
    <t>Unit 8, Level 1</t>
  </si>
  <si>
    <t>tenders@mcaslan.co.uk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</si>
  <si>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West Sydney, Northern Sydney, Hunter, Mid North Coast, Illawarra, Central West, Inner West, Cumberland/Prospect, New England, Southern Highlands, Orana/Far West, South East Sydney, Nepean, Central Coast, Far North Coast, Riverina/Murray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</si>
  <si>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Meaghan Dwyer</t>
  </si>
  <si>
    <t>Johnson Pilton Walker Pty Ltd</t>
  </si>
  <si>
    <t>JOHNSON PILTON WALKER PTY LTD</t>
  </si>
  <si>
    <t>http://www.jpw.com.au</t>
  </si>
  <si>
    <t>Graeme Dix</t>
  </si>
  <si>
    <t>Level 10 Plaza Building, Australia Square</t>
  </si>
  <si>
    <t>95 Pitt Street</t>
  </si>
  <si>
    <t>graeme.dix@jpw.com.au</t>
  </si>
  <si>
    <t>Johnson Pilton Walker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</si>
  <si>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Riverina/Murray, South West Sydney, Northern Sydney, Hunter, Mid North Coast, Illawarra, Central West, Inner West, Cumberland/Prospect, New England, Southern Highlands, Orana/Far West, South East Sydney, Nepean, Central Coast, Far North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NT, VIC, QLD, WA, SA, ACT</t>
    </r>
  </si>
  <si>
    <t>Kathy Jones &amp; Assoc</t>
  </si>
  <si>
    <t>KATHY JONES &amp; ASSOCIATES PTY. LIMITED</t>
  </si>
  <si>
    <t>http://www.kjassoc.com.au</t>
  </si>
  <si>
    <t>Nadine Young</t>
  </si>
  <si>
    <t>Bid/Proposal Writer</t>
  </si>
  <si>
    <t>309 Kent St</t>
  </si>
  <si>
    <t>02 9955 5040</t>
  </si>
  <si>
    <t>0411 274 422</t>
  </si>
  <si>
    <t>info@kjassoc.com.au</t>
  </si>
  <si>
    <t>KATHY JONES &amp; ASSOCIATES</t>
  </si>
  <si>
    <t>KENNEDY ASSOCIATES - ARCHITECTS</t>
  </si>
  <si>
    <t>KENNEDY CONSULTANTS PTY LIMITED</t>
  </si>
  <si>
    <t>http://www.kennedyassociates.com.au</t>
  </si>
  <si>
    <t>anthony nolan</t>
  </si>
  <si>
    <t>director</t>
  </si>
  <si>
    <t>level 3 / 1 booth street</t>
  </si>
  <si>
    <t>annandale</t>
  </si>
  <si>
    <t>anthony@kennedyassociates.com.au</t>
  </si>
  <si>
    <t>kennedy associates architects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</si>
  <si>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South West Sydney, Northern Sydney, Hunter, Illawarra, Inner West, Cumberland/Prospect, South East Sydney, Nepean, Central Coast
</t>
    </r>
  </si>
  <si>
    <t>KI STUDIO PTY LTD</t>
  </si>
  <si>
    <t>http://www.kistudio.com.au</t>
  </si>
  <si>
    <t>Miguel Wustemann</t>
  </si>
  <si>
    <t>Studio 3, Level 3, 56 Bowman Street</t>
  </si>
  <si>
    <t>jvg@kistudio.com.au</t>
  </si>
  <si>
    <t>KI STUDIO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</si>
  <si>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Illawarra, Central West, Inner West, Cumberland/Prospect, New England, Southern Highlands, Orana/Far West, South East Sydney, Nepean, Central Coast, Far North Coast, Riverina/Murray, South West Sydney, Northern Sydney, Hunter, Mid North Coast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VIC, QLD, WA, SA, ACT, TAS, NT</t>
    </r>
  </si>
  <si>
    <t>KOLLANYI ARCHITECTS</t>
  </si>
  <si>
    <t>CSABA KOLLANYI &amp; ASSOCIATES ARCHITECTS PTY LIMITED</t>
  </si>
  <si>
    <t>http://www.kollanyiarchitects.com.au</t>
  </si>
  <si>
    <t>Csaba Kollanyi</t>
  </si>
  <si>
    <t>1/126</t>
  </si>
  <si>
    <t>Terry Street</t>
  </si>
  <si>
    <t>Rozelle</t>
  </si>
  <si>
    <t>csaba@kollanyiarchitects.com.au</t>
  </si>
  <si>
    <t>Kollanyi Architects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</si>
  <si>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Northern Sydney, Hunter, Mid North Coast, Illawarra, Central West, Inner West, Cumberland/Prospect, New England, Southern Highlands, Orana/Far West, South East Sydney, Nepean, Central Coast, Far North Coast, Riverina/Murray, South West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</si>
  <si>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Kreis Grennan Architecture</t>
  </si>
  <si>
    <t>KREIS GRENNAN PTY LTD</t>
  </si>
  <si>
    <t>http://www.kreisgrennan.com.au</t>
  </si>
  <si>
    <t>Chris Kreis</t>
  </si>
  <si>
    <t>chris@kreisgrennan.com.au</t>
  </si>
  <si>
    <t>LACOSTE + STEVENSON ARCHITECTS</t>
  </si>
  <si>
    <t>LACOSTE &amp; STEVENSON PTY LIMITED</t>
  </si>
  <si>
    <t>http://www.l-s.com.au</t>
  </si>
  <si>
    <t>David Stevenson</t>
  </si>
  <si>
    <t>69 Reservoir Street</t>
  </si>
  <si>
    <t>david@l-s.com.au</t>
  </si>
  <si>
    <t>Lacoste + Stevenson Architects</t>
  </si>
  <si>
    <t>Lahz Nimmo Architects</t>
  </si>
  <si>
    <t>LAHZ NIMMO ARCHITECTS PTY. LTD.</t>
  </si>
  <si>
    <t>http://www.lahznimmo.com</t>
  </si>
  <si>
    <t>Andrew Nimmo</t>
  </si>
  <si>
    <t>Studio 404</t>
  </si>
  <si>
    <t>3 Gladstone Street</t>
  </si>
  <si>
    <t>a.nimmo@lahznimmo.com</t>
  </si>
  <si>
    <t>Left Bank Co</t>
  </si>
  <si>
    <t>MICHELLE TABET PTY LTD</t>
  </si>
  <si>
    <t>http://www.leftbankco.com</t>
  </si>
  <si>
    <t>Michelle Tabet</t>
  </si>
  <si>
    <t>7606/2 Cullen Close</t>
  </si>
  <si>
    <t>Forest Lodge</t>
  </si>
  <si>
    <t>michelle@michelletabet.com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</si>
  <si>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Nepean, Central Coast, Far North Coast, Riverina/Murray, South West Sydney, Northern Sydney, Hunter, Mid North Coast, Illawarra, Central West, Inner West, Cumberland/Prospect, New England, Southern Highlands, Orana/Far West, South East Sydney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TAS, NT, VIC, QLD, WA, SA, ACT</t>
    </r>
  </si>
  <si>
    <t>Lewis &amp; Zwart Architecture</t>
  </si>
  <si>
    <t>LEWIS &amp; ZWART PTY LTD</t>
  </si>
  <si>
    <t>http://www.lewiszwart.com.au</t>
  </si>
  <si>
    <t>Troy Zwart</t>
  </si>
  <si>
    <t>35 Highfields Parade</t>
  </si>
  <si>
    <t>Highfields</t>
  </si>
  <si>
    <t>troy@lewiszwart.com.au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</si>
  <si>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Central Coast, Hunter, Mid North Coast, Northern Sydney, New England
</t>
    </r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</si>
  <si>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Hunter, Mid North Coast, Illawarra, Central West, Inner West, Cumberland/Prospect, New England, Southern Highlands, Orana/Far West, South East Sydney, Nepean, Central Coast, Far North Coast, Riverina/Murray, South West Sydney, Northern Sydney
</t>
    </r>
  </si>
  <si>
    <t>Link Place</t>
  </si>
  <si>
    <t>STACE, SARA FRANCIS</t>
  </si>
  <si>
    <t>http://www.linkplace.com.au</t>
  </si>
  <si>
    <t>Sara Stace</t>
  </si>
  <si>
    <t>Executive Director</t>
  </si>
  <si>
    <t>35a Knox Street</t>
  </si>
  <si>
    <t>Clovelly</t>
  </si>
  <si>
    <t>sara@linkplace.com.au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</si>
  <si>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>Hunter, Mid North Coast, Illawarra, Central West, Inner West, Cumberland/Prospect, New England, Southern Highlands, Orana/Far West, South East Sydney, Nepean, Central Coast, Far North Coast, Riverina/Murray, South West Sydney, Northern Sydney
States and Territories: VIC, QLD, WA, SA, ACT, TAS, NT</t>
    </r>
  </si>
  <si>
    <t>LIPPMANN PARTNERSHIP</t>
  </si>
  <si>
    <t>LIPPMANN PARTNERSHIP PTY LTD</t>
  </si>
  <si>
    <t>http://www.lippmann.com.au</t>
  </si>
  <si>
    <t>570 Crown Street</t>
  </si>
  <si>
    <t>Mace Australia Pty Ltd</t>
  </si>
  <si>
    <t>MACE AUSTRALIA PROPRIETRY LIMITED</t>
  </si>
  <si>
    <t>http://www.macegroup.com/locations/asia-pacific</t>
  </si>
  <si>
    <t>Michelle Aguas</t>
  </si>
  <si>
    <t>Suite 1703, Level 17, 44 Market Street</t>
  </si>
  <si>
    <t>michelle.aguas@macegroup.com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</si>
  <si>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>Northern Sydney, Hunter, Mid North Coast, Illawarra, Central West, Inner West, Cumberland/Prospect, New England, Southern Highlands, Orana/Far West, South East Sydney, Nepean, Central Coast, Far North Coast, Riverina/Murray, South West Sydney
States and Territories: SA, VIC, ACT, QLD</t>
    </r>
  </si>
  <si>
    <t>MAKE ARCHITECTS</t>
  </si>
  <si>
    <t>MAKE (AU) LIMITED</t>
  </si>
  <si>
    <t>http://www.makearchitects.com</t>
  </si>
  <si>
    <t>Simon Lincoln</t>
  </si>
  <si>
    <t>309 George Street</t>
  </si>
  <si>
    <t>simonlincoln@makearchitects.com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</si>
  <si>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>Southern Highlands, Orana/Far West, South East Sydney, Nepean, Central Coast, Far North Coast, Riverina/Murray, South West Sydney, Northern Sydney, Hunter, Mid North Coast, Illawarra, Central West, Inner West, Cumberland/Prospect, New England
States and Territories: WA, QLD, VIC</t>
    </r>
  </si>
  <si>
    <t>MAKO ARCHITECTURE PTY LYD</t>
  </si>
  <si>
    <t>MAKO ARCHITECTURE PTY LTD</t>
  </si>
  <si>
    <t>http://www.makoarchitecture.com.au</t>
  </si>
  <si>
    <t>Alexander Koll</t>
  </si>
  <si>
    <t>Suite 108</t>
  </si>
  <si>
    <t>59 Marlborough Street</t>
  </si>
  <si>
    <t>alex@makoarchitecture.com.au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</si>
  <si>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East Sydney, Nepean, Central Coast, Far North Coast, Southern Highlands, South West Sydney, Northern Sydney, Hunter, Mid North Coast, Central West, Inner West, Cumberland/Prospect, New England, Illawarra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VIC</t>
    </r>
  </si>
  <si>
    <t>MAPA ART &amp; ARCHITECTURE PTY LTD</t>
  </si>
  <si>
    <t>http://www.mapa.net.au</t>
  </si>
  <si>
    <t>HUGO MOLINE</t>
  </si>
  <si>
    <t>Unit 104 53 â€“ 59 Great Buckingham Street</t>
  </si>
  <si>
    <t>hugo@mapa.net.au</t>
  </si>
  <si>
    <t>MAPA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</si>
  <si>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East Sydney, Nepean, Central Coast, Far North Coast, Riverina/Murray, South West Sydney, Northern Sydney, Hunter, Mid North Coast, Illawarra, Central West, Inner West, Cumberland/Prospect, New England, Southern Highlands, Orana/Far West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ACT, TAS, NT, VIC, QLD, WA, SA</t>
    </r>
  </si>
  <si>
    <t>Marra + Yeh Architects</t>
  </si>
  <si>
    <t>MARRA &amp; YEH ARCHITECTS PTY LTD</t>
  </si>
  <si>
    <t>http://www.marrayeh.com</t>
  </si>
  <si>
    <t>Carol Marra</t>
  </si>
  <si>
    <t>136B Shepherd St</t>
  </si>
  <si>
    <t>marra@marrayeh.com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</si>
  <si>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West, Inner West, Cumberland/Prospect, New England, Southern Highlands, Orana/Far West, South East Sydney, Nepean, Central Coast, Far North Coast, Riverina/Murray, South West Sydney, Northern Sydney, Hunter, Mid North Coast, Illawarra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QLD, WA, SA, ACT, TAS, NT, VIC</t>
    </r>
  </si>
  <si>
    <t>http://www.mcgregorcoxall.com</t>
  </si>
  <si>
    <t>Adam Ivers</t>
  </si>
  <si>
    <t>Bid Team Leader</t>
  </si>
  <si>
    <t>Suite 101, Level 1, 39 East Esplanade</t>
  </si>
  <si>
    <t>nswtenders@mcgregorcoxall.com</t>
  </si>
  <si>
    <t>McGregor Coxall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</si>
  <si>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Orana/Far West, South East Sydney, Nepean, Central Coast, Far North Coast, Riverina/Murray, South West Sydney, Northern Sydney, Hunter, Mid North Coast, Illawarra, Central West, Inner West, Cumberland/Prospect, New England, Southern Highlands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SA, ACT, TAS, NT, VIC, QLD, WA</t>
    </r>
  </si>
  <si>
    <t>McGregor Westlake Architecture</t>
  </si>
  <si>
    <t>MCGREGOR WESTLAKE ARCHITECTURE PTY LIMITED</t>
  </si>
  <si>
    <t>http://www.mwarchitects.com.au</t>
  </si>
  <si>
    <t>Peter McGregor</t>
  </si>
  <si>
    <t>68-72 Wentworth Ave</t>
  </si>
  <si>
    <t>studio@mwarchitects.com.au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</si>
  <si>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Inner West, Cumberland/Prospect, New England, Southern Highlands, Orana/Far West, South East Sydney, Nepean, Central Coast, Far North Coast, Riverina/Murray, South West Sydney, Northern Sydney, Hunter, Mid North Coast, Illawarra, Central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</si>
  <si>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McIntosh &amp; Phelps Pty Ltd</t>
  </si>
  <si>
    <t>MCINTOSH &amp; PHELPS PTY LTD</t>
  </si>
  <si>
    <t>http://www.mcintoshphelps.com.au</t>
  </si>
  <si>
    <t>William Phelps</t>
  </si>
  <si>
    <t>Director / Architect</t>
  </si>
  <si>
    <t>Suite 311</t>
  </si>
  <si>
    <t>350 George Street</t>
  </si>
  <si>
    <t>info@mcintoshphelps.com.au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</si>
  <si>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Nepean, Central Coast, Far North Coast, Riverina/Murray, South West Sydney, Northern Sydney, Hunter, Mid North Coast, Illawarra, Central West, Inner West, Cumberland/Prospect, New England, Southern Highlands, Orana/Far West, South East Sydney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TAS, NT, VIC, QLD, WA, SA, ACT</t>
    </r>
  </si>
  <si>
    <t>MCK Architects Pty Ltd</t>
  </si>
  <si>
    <t>http://www.mckarcitects.com</t>
  </si>
  <si>
    <t>Mark Cashman</t>
  </si>
  <si>
    <t>401/104 Commonwealth Street Surry Hills</t>
  </si>
  <si>
    <t>mark@mckarchitects.com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</si>
  <si>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West Sydney, Northern Sydney, Inner West, Cumberland/Prospect, South East Sydney, Nepean
</t>
    </r>
  </si>
  <si>
    <t>Melocco &amp; Moore Architects Pty Ltd</t>
  </si>
  <si>
    <t>MELOCCO &amp; MOORE ARCHITECTS PTY. LIMITED</t>
  </si>
  <si>
    <t>http://www.meloccomoore.com.au</t>
  </si>
  <si>
    <t>Philip Moore</t>
  </si>
  <si>
    <t>Level 2, Suite 204</t>
  </si>
  <si>
    <t>59 Great Buckingham Street</t>
  </si>
  <si>
    <t>architects@meloccomoore.com.au</t>
  </si>
  <si>
    <t>MGS ARCHITECTURE</t>
  </si>
  <si>
    <t>MGS ARCHITECTS PTY LTD</t>
  </si>
  <si>
    <t>http://www.mgsarchitects.com.au</t>
  </si>
  <si>
    <t>Robert McGauran</t>
  </si>
  <si>
    <t>10-22 Manton Lane</t>
  </si>
  <si>
    <t>rmcgauran@mgsarchitects.com.au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</si>
  <si>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West Sydney, Northern Sydney, Riverina/Murray, Inner West, Illawarra, South East Sydney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ACT, TAS, VIC</t>
    </r>
  </si>
  <si>
    <t>MI Associates</t>
  </si>
  <si>
    <t>MI ASSOCIATES PTY. LIMITED</t>
  </si>
  <si>
    <t>http://www.mi.com.au</t>
  </si>
  <si>
    <t>Christopher Stanley</t>
  </si>
  <si>
    <t>Level 10, 99 Walker Street</t>
  </si>
  <si>
    <t>chris_stanley@mi.com.au</t>
  </si>
  <si>
    <t>MI Associates Pty Ltd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</si>
  <si>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Inner West, Cumberland/Prospect, New England, Southern Highlands, Orana/Far West, South East Sydney, Nepean, Central Coast, Far North Coast, Riverina/Murray, South West Sydney, Northern Sydney, Hunter, Mid North Coast, Illawarra, Central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WA, SA, ACT, TAS, NT, VIC, QLD</t>
    </r>
  </si>
  <si>
    <t>Michael Davies Architecture</t>
  </si>
  <si>
    <t>MICHAEL DAVIES ARCHITECTURE PTY LTD</t>
  </si>
  <si>
    <t>http://ww.michaeldaviesarchitecture.com</t>
  </si>
  <si>
    <t>Michael Davies</t>
  </si>
  <si>
    <t>Level 12, 49 York Street</t>
  </si>
  <si>
    <t>business@michaeldaviesarchitecture.com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</si>
  <si>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East Sydney, Nepean, Central Coast, Far North Coast, Riverina/Murray, South West Sydney, Northern Sydney, Hunter, Mid North Coast, Illawarra, Central West, Inner West, Cumberland/Prospect, New England, Southern Highlands, Orana/Far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TAS, NT, VIC, QLD, WA, SA</t>
    </r>
  </si>
  <si>
    <t>Moir Landscape Architecture</t>
  </si>
  <si>
    <t>MOIR LANDSCAPE ARCHITECTURE PTY LTD</t>
  </si>
  <si>
    <t>http://www.moirla.com.au</t>
  </si>
  <si>
    <t>David Moir</t>
  </si>
  <si>
    <t>Studio 1</t>
  </si>
  <si>
    <t>88 Fern Street</t>
  </si>
  <si>
    <t>ISLINGTON</t>
  </si>
  <si>
    <t>projects@moirla.com.au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</si>
  <si>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Cumberland/Prospect, New England, Southern Highlands, Orana/Far West, South East Sydney, Nepean, Central Coast, Far North Coast, Riverina/Murray, South West Sydney, Northern Sydney, Hunter, Mid North Coast, Illawarra, Central West, Inner West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WA, SA, ACT, TAS, NT, VIC, QLD</t>
    </r>
  </si>
  <si>
    <t>Myers Ellyett Pty Ltd</t>
  </si>
  <si>
    <t>THE TRUSTEE FOR MYERS ELLYETT UNIT TRUST</t>
  </si>
  <si>
    <t>http://www.myersellyett.com.au</t>
  </si>
  <si>
    <t>William Ellyett</t>
  </si>
  <si>
    <t>Senior Architectural Graduate</t>
  </si>
  <si>
    <t>21 Agars Street</t>
  </si>
  <si>
    <t>Paddington</t>
  </si>
  <si>
    <t>jm@myersellyett.com.au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</si>
  <si>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Nepean, Central Coast, South West Sydney, Northern Sydney, Hunter, Far North Coast, Illawarra, Inner West, Cumberland/Prospect, Mid North Coast, Southern Highlands, South East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ACT, QLD, SA</t>
    </r>
  </si>
  <si>
    <t>NBRS &amp; Partners Pty Ltd</t>
  </si>
  <si>
    <t>NBRS &amp; PARTNERS PTY LTD</t>
  </si>
  <si>
    <t>http://www.nbrsarchitecture.com</t>
  </si>
  <si>
    <t>James Ward</t>
  </si>
  <si>
    <t>Level 3, 4 Glen Street</t>
  </si>
  <si>
    <t>Milsons Point</t>
  </si>
  <si>
    <t>james.ward@nbrsarchitecture.com</t>
  </si>
  <si>
    <t>NBRS+PARTNERS</t>
  </si>
  <si>
    <t>NEESON MURCUTT &amp; NEILLE</t>
  </si>
  <si>
    <t>NEESON MURCUTT ARCHITECTS PTY LIMITED</t>
  </si>
  <si>
    <t>http://www.neesonmurcutt.com</t>
  </si>
  <si>
    <t>Rachel Neeson</t>
  </si>
  <si>
    <t>L1 9 Roslyn Street</t>
  </si>
  <si>
    <t>mail@neesonmurcutt.com</t>
  </si>
  <si>
    <t>Nettleton Tribe Architects</t>
  </si>
  <si>
    <t>THE TRUSTEEFORNETTLETONTRIBEPRACTICETRUST</t>
  </si>
  <si>
    <t>http://nettletontribe.com.au</t>
  </si>
  <si>
    <t>Bernard Waller</t>
  </si>
  <si>
    <t>117 Willoughby Road</t>
  </si>
  <si>
    <t>0294316431</t>
  </si>
  <si>
    <t>accounts@nettletontribe.com.au</t>
  </si>
  <si>
    <t>002429441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</si>
  <si>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Coast, Cumberland/Prospect, Nepean, NorthernSydney, Inner West, South East Sydney, South West Sydney, Illawarra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NT, QLD, SA, TAS, VIC, WA</t>
    </r>
  </si>
  <si>
    <t>NewScape Design Pty Ltd</t>
  </si>
  <si>
    <t>NEWSCAPE DESIGN PTY LTD</t>
  </si>
  <si>
    <t>http://www.newscapedesign.com.au</t>
  </si>
  <si>
    <t>John Newman</t>
  </si>
  <si>
    <t>Level 1, 24-26 Botany Road, Alexandria NSW 2015</t>
  </si>
  <si>
    <t>john@newscapedesign.com.au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</si>
  <si>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Central Coast, Far North Coast, Riverina/Murray, South West Sydney, Northern Sydney, Hunter, Mid North Coast, Illawarra, Central West, Inner West, Cumberland/Prospect, New England, Southern Highlands, Orana/Far West, South East Sydney, Nepean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NT, VIC, QLD, WA, SA, ACT</t>
    </r>
  </si>
  <si>
    <t>Nicholas Turner Pty Ltd</t>
  </si>
  <si>
    <t>NICHOLAS TURNER PTY. LIMITED</t>
  </si>
  <si>
    <t>http://www.turnerstudio.com.au</t>
  </si>
  <si>
    <t>Karl May</t>
  </si>
  <si>
    <t>Level 7, 1 Oxford Street</t>
  </si>
  <si>
    <t>tenders@turnerstudio.com.au</t>
  </si>
  <si>
    <t>Turner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</si>
  <si>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Northern Sydney, Hunter, Mid North Coast, Illawarra, Central West, Inner West, Cumberland/Prospect, New England, Southern Highlands, Orana/Far West, South East Sydney, Nepean, Central Coast, Far North Coast, Riverina/Murray, South West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QLD, VIC, ACT</t>
    </r>
  </si>
  <si>
    <t>Nobbs Radford Architects</t>
  </si>
  <si>
    <t>A.L NOBBS &amp; S.A RADFORD</t>
  </si>
  <si>
    <t>http://www.nobbsradford.com.au</t>
  </si>
  <si>
    <t>Alison Nobbs</t>
  </si>
  <si>
    <t>L1 16 Foster Street</t>
  </si>
  <si>
    <t>architects@nobbsradford.com.au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</si>
  <si>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East Sydney, Nepean, Central Coast, Far North Coast, Riverina/Murray, South West Sydney, Northern Sydney, Hunter, Mid North Coast, Illawarra, Central West, Inner West, Cumberland/Prospect, New England, Southern Highlands, Orana/Far West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QLD, VIC</t>
    </r>
  </si>
  <si>
    <t>Nordon Jago Architects Pty Ltd</t>
  </si>
  <si>
    <t>NORDON JAGO ARCHITECTS PTY. LIMITED</t>
  </si>
  <si>
    <t>http://www.nordonjago.com</t>
  </si>
  <si>
    <t>Justin de Gouw</t>
  </si>
  <si>
    <t>103C Parramatta Road</t>
  </si>
  <si>
    <t>ANNANDALE</t>
  </si>
  <si>
    <t>jdegouw@nordonjago.com</t>
  </si>
  <si>
    <t>Nordon Jago Architects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</si>
  <si>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Inner West, Cumberland/Prospect, New England, Southern Highlands, Orana/Far West, South East Sydney, Nepean, Central Coast, Far North Coast, Riverina/Murray, South West Sydney, Northern Sydney, Hunter, Mid North Coast, Illawarra, Central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ACT, QLD, TAS</t>
    </r>
  </si>
  <si>
    <t>Noxon Giffen Pty Limited</t>
  </si>
  <si>
    <t>NOXON GIFFEN PTY LTD</t>
  </si>
  <si>
    <t>http://www.noxongiffen.com</t>
  </si>
  <si>
    <t>Darren Giffen</t>
  </si>
  <si>
    <t>432 Kent St</t>
  </si>
  <si>
    <t>SYDNEY</t>
  </si>
  <si>
    <t>dgiffen@noxongiffen.com</t>
  </si>
  <si>
    <t>Noxon Giffen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</si>
  <si>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Riverina/Murray, South West Sydney, Northern Sydney, Hunter, Mid North Coast, Illawarra, Central West, Inner West, Cumberland/Prospect, New England, Southern Highlands, Orana/Far West, South East Sydney, Nepean, Central Coast, Far North Coast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</t>
    </r>
  </si>
  <si>
    <t>OCULUS PTY</t>
  </si>
  <si>
    <t>OCULUS LANDSCAPE ARCHITECTURE; URBAN DESIGN; ENVIRONMENTAL PLANNING PTY LIMITED</t>
  </si>
  <si>
    <t>http://www.oculus.info</t>
  </si>
  <si>
    <t>Roger Jasprizza</t>
  </si>
  <si>
    <t>Level 1, 5 Wilson Street</t>
  </si>
  <si>
    <t>kim@oculus.com.au</t>
  </si>
  <si>
    <t>NSW Regions: Cumberland/Prospect, New England, Southern Highlands, Orana/Far West, South East Sydney, Nepean, Central Coast, Far North Coast, Riverina/Murray, South West Sydney, Northern Sydney, Hunter, Mid North Coast, Illawarra, Central West, Inner West
States and Territories: VIC, QLD, SA, TAS, ACT</t>
  </si>
  <si>
    <t>OLA STUDIO</t>
  </si>
  <si>
    <t>The Trustee for SNOWDON FAMILY TRUST</t>
  </si>
  <si>
    <t>http://www.olastudio.com.au</t>
  </si>
  <si>
    <t>Phil Snowdon</t>
  </si>
  <si>
    <t>102/26-30 Rokeby St</t>
  </si>
  <si>
    <t>Collingwood</t>
  </si>
  <si>
    <t>hello@olastudio.com.au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</si>
  <si>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West Sydney, Northern Sydney, Hunter, Mid North Coast, Illawarra, Central West, Inner West, Cumberland/Prospect, New England, Southern Highlands, Orana/Far West, South East Sydney, Nepean, Central Coast, Far North Coast, Riverina/Murray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</t>
    </r>
  </si>
  <si>
    <t>Olsson Architecture Urban Projects</t>
  </si>
  <si>
    <t>OLSSON &amp; ASSOCIATES ARCHITECTS PTY LTD</t>
  </si>
  <si>
    <t>http://www.olssonassociates.com.au</t>
  </si>
  <si>
    <t>Russell Olsson</t>
  </si>
  <si>
    <t>russell@olssonassociates.com.au</t>
  </si>
  <si>
    <t>OMA</t>
  </si>
  <si>
    <t>Office For Metropolitan Architecture (O.M.A.) Stedebouw BV</t>
  </si>
  <si>
    <t>http://www.oma.eu</t>
  </si>
  <si>
    <t>Paul Jones</t>
  </si>
  <si>
    <t>Regional Director - AU</t>
  </si>
  <si>
    <t>GPO Box 3236</t>
  </si>
  <si>
    <t>pjones@oma.com</t>
  </si>
  <si>
    <t>ORDER ARCHITECTS AND INTERIORS</t>
  </si>
  <si>
    <t>ORDER ARCHITECTS PTY LTD</t>
  </si>
  <si>
    <t>http://www.orderarchitects.com</t>
  </si>
  <si>
    <t>Kim Crestani</t>
  </si>
  <si>
    <t>Suite 1, Level 1 3B Victoria Street</t>
  </si>
  <si>
    <t>P O Box 678</t>
  </si>
  <si>
    <t>kim@orderarchitects.com</t>
  </si>
  <si>
    <t>Order Architects Pty Ltd</t>
  </si>
  <si>
    <t>Otherothers</t>
  </si>
  <si>
    <t>OTHER ARCHITECTS PTY LIMITED</t>
  </si>
  <si>
    <t>http://www.otherarchitects.com</t>
  </si>
  <si>
    <t>Grace Mortlock</t>
  </si>
  <si>
    <t>5 Carriageworks Way</t>
  </si>
  <si>
    <t>Eveleigh</t>
  </si>
  <si>
    <t>david@otherarchitects.com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</si>
  <si>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West Sydney, Northern Sydney, Hunter, Illawarra, Inner West, Cumberland/Prospect, Southern Highlands, South East Sydney, Nepean, Central Coast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</t>
    </r>
  </si>
  <si>
    <t>panovscott</t>
  </si>
  <si>
    <t>PANOVSCOTT PTY LIMITED</t>
  </si>
  <si>
    <t>http://www.panovscott.com.au</t>
  </si>
  <si>
    <t>Anita Panov</t>
  </si>
  <si>
    <t>Unit 25, No. 1 Holdsworth Ave, Elizabeth Bay</t>
  </si>
  <si>
    <t>andrew@panovscott.com.au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</si>
  <si>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Central Coast, Far North Coast, Riverina/Murray, South West Sydney, Northern Sydney, Hunter, Mid North Coast, Illawarra, Central West, Inner West, Cumberland/Prospect, New England, Southern Highlands, Orana/Far West, South East Sydney, Nepean
</t>
    </r>
  </si>
  <si>
    <t>Partners Hill Pty Ltd</t>
  </si>
  <si>
    <t>PARTNERS HILL PTY LTD</t>
  </si>
  <si>
    <t>http://www.partnershill.com</t>
  </si>
  <si>
    <t>Timothy Hill</t>
  </si>
  <si>
    <t>89 Macquarie Street</t>
  </si>
  <si>
    <t>Hobart</t>
  </si>
  <si>
    <t>TAS</t>
  </si>
  <si>
    <t>bv@partnershill.com</t>
  </si>
  <si>
    <t>Partners Hill</t>
  </si>
  <si>
    <t>Paterson Design Studio</t>
  </si>
  <si>
    <t>PATERSON DESIGN STUDIO PTY LTD</t>
  </si>
  <si>
    <t>http://www.pdsdesign.com.au</t>
  </si>
  <si>
    <t>Garth Paterson</t>
  </si>
  <si>
    <t>16A 1-15 Tramore Place</t>
  </si>
  <si>
    <t>Killarney Heights</t>
  </si>
  <si>
    <t>Garth@pdsdesign.com.au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</si>
  <si>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East Sydney, Nepean, Central Coast, South West Sydney, Northern Sydney, Hunter, Illawarra, Inner West, Cumberland/Prospect, New England, Southern Highlands
</t>
    </r>
  </si>
  <si>
    <t>PBD Architects</t>
  </si>
  <si>
    <t>PBD Architects and Project Managers Pty Ltd</t>
  </si>
  <si>
    <t>http://www.pbdarchitects.com.au</t>
  </si>
  <si>
    <t>LEVEL 2, 52 Albion Street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</si>
  <si>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Northern Sydney, Hunter, Illawarra, Inner West, Cumberland/Prospect, South East Sydney, Nepean, Central Coast, South West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</si>
  <si>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peckvonhartel Group Pty Ltd</t>
  </si>
  <si>
    <t>PECKVONHARTEL GROUP PTY LTD</t>
  </si>
  <si>
    <t>http://www.pvh.com.au</t>
  </si>
  <si>
    <t>Marten Peck</t>
  </si>
  <si>
    <t>Prinicipal</t>
  </si>
  <si>
    <t>Level 20, 25 Bligh Street</t>
  </si>
  <si>
    <t>Sydney@pvh.com.au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</si>
  <si>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East Sydney, Nepean, Central Coast, Far North Coast, South West Sydney, Northern Sydney, Hunter, Mid North Coast, Illawarra, Inner West, Cumberland/Prospect, New England, Southern Highlands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ACT, VIC</t>
    </r>
  </si>
  <si>
    <t>PEDDLE THORP ARCHITECTS</t>
  </si>
  <si>
    <t>PEDDLE THORP &amp; WALKER PTY. LIMITED</t>
  </si>
  <si>
    <t>http://www.ptw.com.au</t>
  </si>
  <si>
    <t>Moya Lum</t>
  </si>
  <si>
    <t>Knowledge/Research Manager</t>
  </si>
  <si>
    <t>Level 11</t>
  </si>
  <si>
    <t>88 Phillip Street</t>
  </si>
  <si>
    <t>tenders@ptw.com.au</t>
  </si>
  <si>
    <t>PTW Architects</t>
  </si>
  <si>
    <t>PERROTT LYON MATHIESON PTY LTD AND BATES SMART ARCHITECTS IN ASSOCIATION JOINT VENTURE</t>
  </si>
  <si>
    <t>BATES SMART ARCHITECTS PTY LTD</t>
  </si>
  <si>
    <t>http://batessmart.com.au/</t>
  </si>
  <si>
    <t>Cate Cowlishaw</t>
  </si>
  <si>
    <t>43 Brisbane Street, Surry Hills</t>
  </si>
  <si>
    <t>lfachri@batessmart.com</t>
  </si>
  <si>
    <t>PETER ANDREWS &amp; ASSOCIATES PTY LTD</t>
  </si>
  <si>
    <t>http://www.paadesign.com.au</t>
  </si>
  <si>
    <t>Vanessa Colclough</t>
  </si>
  <si>
    <t>PO Box 494</t>
  </si>
  <si>
    <t>Terrigal</t>
  </si>
  <si>
    <t>vanessa.c@paadesign.com.au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</si>
  <si>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Inner West, Cumberland/Prospect, New England, Southern Highlands, Orana/Far West, South East Sydney, Nepean, Central Coast, Far North Coast, Riverina/Murray, South West Sydney, Northern Sydney, Hunter, Mid North Coast, Illawarra, Central West
</t>
    </r>
  </si>
  <si>
    <t>PHILLIPS MARLER</t>
  </si>
  <si>
    <t>J.C MARLER &amp; D.R PHILLIPS</t>
  </si>
  <si>
    <t>http://www.phillipsmarler.com.au</t>
  </si>
  <si>
    <t>Julie Marler</t>
  </si>
  <si>
    <t>Co Partner Phillips Marler</t>
  </si>
  <si>
    <t>Suite 203 27 Abercrombie Street</t>
  </si>
  <si>
    <t>julie@phillipsmarler.com.au</t>
  </si>
  <si>
    <t>Phillips Marler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</si>
  <si>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Mid North Coast, Illawarra, Central West, Inner West, Cumberland/Prospect, New England, Southern Highlands, Orana/Far West, South East Sydney, Nepean, Central Coast, Far North Coast, Riverina/Murray, South West Sydney, Northern Sydney, Hunter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TAS</t>
    </r>
  </si>
  <si>
    <t>PIDCOCK Pty Ltd</t>
  </si>
  <si>
    <t>PIDCOCK PTY LIMITED</t>
  </si>
  <si>
    <t>http://www.pidcock.com.au</t>
  </si>
  <si>
    <t>Caroline Pidcock</t>
  </si>
  <si>
    <t>127 Kent Street</t>
  </si>
  <si>
    <t>caroline@pidcock.com.au</t>
  </si>
  <si>
    <t>PIDCOCK - Architecture + Sustainability</t>
  </si>
  <si>
    <t>Place Agency</t>
  </si>
  <si>
    <t>PLACE PARTNERS PTY LTD</t>
  </si>
  <si>
    <t>http://www.placepartners.com.au</t>
  </si>
  <si>
    <t>Kylie Legge</t>
  </si>
  <si>
    <t>Placemaker</t>
  </si>
  <si>
    <t>L2, 3 OXFORD ST</t>
  </si>
  <si>
    <t>kylie@placepartners.com.au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</si>
  <si>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Orana/Far West, South East Sydney, Nepean, Central Coast, Far North Coast, Riverina/Murray, South West Sydney, Northern Sydney, Hunter, Mid North Coast, Illawarra, Central West, Inner West, Cumberland/Prospect, New England, Southern Highlands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SA, ACT, TAS, NT, VIC, QLD, WA</t>
    </r>
  </si>
  <si>
    <t>PLACE ENVIRONMENTAL</t>
  </si>
  <si>
    <t>PLACE DESIGN GROUP PTY LTD</t>
  </si>
  <si>
    <t>http://www.placedesigngroup.com</t>
  </si>
  <si>
    <t>Chris Isles</t>
  </si>
  <si>
    <t>Executive Director of Planning</t>
  </si>
  <si>
    <t>830 Elizabeth Street</t>
  </si>
  <si>
    <t>Waterloo</t>
  </si>
  <si>
    <t>procurement@placedesigngroup.com</t>
  </si>
  <si>
    <t>Place Design Group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</si>
  <si>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Hunter, Mid North Coast, Illawarra, Central West, Inner West, Cumberland/Prospect, New England, Southern Highlands, Orana/Far West, South East Sydney, Nepean, Central Coast, Far North Coast, Riverina/Murray, South West Sydney, Northern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QLD, WA, SA, ACT, TAS, NT</t>
    </r>
  </si>
  <si>
    <t>Place Laboratory</t>
  </si>
  <si>
    <t>The trustee for The Lab Unit Trust</t>
  </si>
  <si>
    <t>http://placelaboratory.com</t>
  </si>
  <si>
    <t>Anna Chauvel</t>
  </si>
  <si>
    <t>Level1</t>
  </si>
  <si>
    <t>289 Murray St</t>
  </si>
  <si>
    <t>Perth</t>
  </si>
  <si>
    <t>0412 157 297</t>
  </si>
  <si>
    <t>greg@placelaboratory.com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</si>
  <si>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 CentralCoast, Hunter, Cumberland/Prospect, Nepean, Northern Sydney, Inner West,South East Sydney, South West Sydney, Central West, Orana/Far West,Riverina/Murray, Illawarra, Southern Highlands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ACT, NT, QLD, SA, TAS, VIC, WA</t>
    </r>
  </si>
  <si>
    <t>Place Logic</t>
  </si>
  <si>
    <t>PLACE LOGIC PTY LTD</t>
  </si>
  <si>
    <t>http://www.placelogic.com.au</t>
  </si>
  <si>
    <t>Imogen Miller</t>
  </si>
  <si>
    <t>Unit 8, 13-15 Thompson Street</t>
  </si>
  <si>
    <t>Long Jetty</t>
  </si>
  <si>
    <t>immie@placelogic.com.au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</si>
  <si>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Southern Highlands, South East Sydney, Nepean, Central Coast, Far North Coast, South West Sydney, Northern Sydney, Hunter, Mid North Coast, Illawarra, Inner West, Cumberland/Prospect, New England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</si>
  <si>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Populous</t>
  </si>
  <si>
    <t>POPULOUSDESIGN PTY LTD</t>
  </si>
  <si>
    <t>http://www.populous.com</t>
  </si>
  <si>
    <t>Rebecca Kell</t>
  </si>
  <si>
    <t>Collin House</t>
  </si>
  <si>
    <t>469 Adelaide Street</t>
  </si>
  <si>
    <t>Brisbane</t>
  </si>
  <si>
    <t>0738387900</t>
  </si>
  <si>
    <t>rebecca.kell@populous.com</t>
  </si>
  <si>
    <t>Purcell Asia Pacific Limited</t>
  </si>
  <si>
    <t>PURCELL ASIA PACIFIC LIMITED</t>
  </si>
  <si>
    <t>http://www.purcellap.com</t>
  </si>
  <si>
    <t>Tracey Skovronek</t>
  </si>
  <si>
    <t>Office 8, The Commons</t>
  </si>
  <si>
    <t>20-40 Meagher Street</t>
  </si>
  <si>
    <t>tracey.skovronek@purcellau.com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</si>
  <si>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Far North Coast, South West Sydney, Northern Sydney, Hunter, Mid North Coast, Illawarra, Inner West, Cumberland/Prospect, New England, Southern Highlands, South East Sydney, Nepean, Central Coast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ACT, TAS, VIC</t>
    </r>
  </si>
  <si>
    <t>Rainsford Architecture and Design</t>
  </si>
  <si>
    <t>RAINSFORD, BENJAMIN PERSSE</t>
  </si>
  <si>
    <t>http://www.r-ad.com.au</t>
  </si>
  <si>
    <t>Ben Rainsford</t>
  </si>
  <si>
    <t>Sole Practitioner</t>
  </si>
  <si>
    <t>19 Bolton Street</t>
  </si>
  <si>
    <t>Newcastle</t>
  </si>
  <si>
    <t>brainsford@r-ad.com.au</t>
  </si>
  <si>
    <t>Rainsford Architecture &amp; Design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</si>
  <si>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Far North Coast, South West Sydney, Northern Sydney, Hunter, Mid North Coast, Inner West, Cumberland/Prospect, New England, South East Sydney, Nepean, Central Coast
</t>
    </r>
  </si>
  <si>
    <t>Red Belly Landscape Architecture + Urban Design</t>
  </si>
  <si>
    <t>MURRAY, GARRY</t>
  </si>
  <si>
    <t>http://www.redbellydesign.com.au</t>
  </si>
  <si>
    <t>Garry Murray</t>
  </si>
  <si>
    <t>6 Canale Drive</t>
  </si>
  <si>
    <t>Boambee</t>
  </si>
  <si>
    <t>garry@redbellydesign.com.au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</si>
  <si>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New England, Riverina/Murray, Far North Coast, Mid North Coast
</t>
    </r>
  </si>
  <si>
    <t>Regional Design Service</t>
  </si>
  <si>
    <t>NICHOLLS/NIELSEN PTY LTD</t>
  </si>
  <si>
    <t>http://www.regionaldesignservice.com</t>
  </si>
  <si>
    <t>Phillip Nielsen</t>
  </si>
  <si>
    <t>Design Director</t>
  </si>
  <si>
    <t>96 Sanger Street</t>
  </si>
  <si>
    <t>Corowa</t>
  </si>
  <si>
    <t>Hello@regionaldesignservice.com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</si>
  <si>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Orana/Far West, Riverina/Murray, Southern Highlands, Central West
States and Territories: QLD, VIC</t>
    </r>
  </si>
  <si>
    <t>Regional Workshop</t>
  </si>
  <si>
    <t>REGIONAL WORKSHOP PTY LTD</t>
  </si>
  <si>
    <t>http://www.webberarchitects.com</t>
  </si>
  <si>
    <t>Megan Webber</t>
  </si>
  <si>
    <t>426 Hunter St</t>
  </si>
  <si>
    <t>newcastle@webberarchitects.com</t>
  </si>
  <si>
    <t>Webber Architects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</si>
  <si>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Northern Sydney, Hunter, Mid North Coast, Illawarra, Central West, Inner West, Cumberland/Prospect, New England, Southern Highlands, Orana/Far West, South East Sydney, Nepean, Central Coast, Far North Coast, Riverina/Murray, South West Sydney
</t>
    </r>
  </si>
  <si>
    <t>Reid Campbell (NSW) Pty Ltd</t>
  </si>
  <si>
    <t>REID CAMPBELL (NSW) PTY LIMITED</t>
  </si>
  <si>
    <t>http://www.reidcampbell.com</t>
  </si>
  <si>
    <t>Tony Thorp</t>
  </si>
  <si>
    <t>Director, Architecture</t>
  </si>
  <si>
    <t>124 Walker St</t>
  </si>
  <si>
    <t>rjcampbell@reidcampbell.com</t>
  </si>
  <si>
    <t>Reid Campbell</t>
  </si>
  <si>
    <t>Retallack Thompson</t>
  </si>
  <si>
    <t>RETALLACK THOMPSON PTY LTD</t>
  </si>
  <si>
    <t>https://retallackthompson.com</t>
  </si>
  <si>
    <t>Mitchell Thompson</t>
  </si>
  <si>
    <t>157 Crown Street</t>
  </si>
  <si>
    <t>mitchell@retallackthompson.com</t>
  </si>
  <si>
    <t>ROBERTS DAY GROUP PTY LTD</t>
  </si>
  <si>
    <t>The Trustee for THE RDD TRUST</t>
  </si>
  <si>
    <t>http://www.robertsday.com.au</t>
  </si>
  <si>
    <t>Martine White</t>
  </si>
  <si>
    <t>Level 4, 17 Randle St Surry Hills</t>
  </si>
  <si>
    <t>martine.white@robertsday.com.au</t>
  </si>
  <si>
    <t>Roberts Day Pty Limited as Trustee for the RDD Trust trading as RobertsDay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</si>
  <si>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Mid North Coast, Illawarra, Central West, Inner West, Cumberland/Prospect, New England, Southern Highlands, Orana/Far West, South East Sydney, Nepean, Central Coast, Far North Coast, Riverina/Murray, South West Sydney, Northern Sydney, Hunter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QLD, WA, SA, ACT, TAS, NT</t>
    </r>
  </si>
  <si>
    <t>Robertson &amp; Marks Pty Ltd</t>
  </si>
  <si>
    <t>ROBERTSON &amp; MARKS PTY LTD</t>
  </si>
  <si>
    <t>http://www.marks.net.au</t>
  </si>
  <si>
    <t>Nicky van der Merwe</t>
  </si>
  <si>
    <t>G01, 1 Layton Street</t>
  </si>
  <si>
    <t>Camperdown</t>
  </si>
  <si>
    <t>nicky@marks.net.au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</si>
  <si>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Nepean, Central Coast, Far North Coast, Riverina/Murray, South West Sydney, Northern Sydney, Hunter, Mid North Coast, Illawarra, Central West, Inner West, Cumberland/Prospect, New England, Southern Highlands, Orana/Far West, South East Sydney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</si>
  <si>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Chris Crick</t>
  </si>
  <si>
    <t>0282729300</t>
  </si>
  <si>
    <t>0416023992</t>
  </si>
  <si>
    <t xml:space="preserve">
20-100 </t>
  </si>
  <si>
    <t>065072193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</si>
  <si>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Northern Sydney, Inner West, South East Sydney, South West Sydney, Southern Highlands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ACT, TAS, VIC</t>
    </r>
  </si>
  <si>
    <t>RPS</t>
  </si>
  <si>
    <t>RPS MANIDIS ROBERTS PTY LTD</t>
  </si>
  <si>
    <t>http://www.rpsgroup.com/Australia-Asia-Pacific.aspx/</t>
  </si>
  <si>
    <t>Steve Ambrose</t>
  </si>
  <si>
    <t>Senior Executive</t>
  </si>
  <si>
    <t>Level 9, 17 York Street</t>
  </si>
  <si>
    <t>audrey.churm@rpsgroup.com.au</t>
  </si>
  <si>
    <t>RPS Manidis Roberts Pty Ltd</t>
  </si>
  <si>
    <t>RPS Mapping</t>
  </si>
  <si>
    <t>RPS AUSTRALIA EAST PTY LTD</t>
  </si>
  <si>
    <t>http://rpsgroup.com.au</t>
  </si>
  <si>
    <t>Jonathan Smith</t>
  </si>
  <si>
    <t>Survey Manager Sydney</t>
  </si>
  <si>
    <t>Level 13</t>
  </si>
  <si>
    <t>255 Pitt Street</t>
  </si>
  <si>
    <t>tenders@rpsgroup.com.au</t>
  </si>
  <si>
    <t>Sam Crawford Architects</t>
  </si>
  <si>
    <t>ELEMENTAL ARCHITECTURE PTY LTD</t>
  </si>
  <si>
    <t>http://www.samcrawfordarchitects.com.au/</t>
  </si>
  <si>
    <t>Sam Crawford</t>
  </si>
  <si>
    <t>Level 2,</t>
  </si>
  <si>
    <t>17 Federation Road</t>
  </si>
  <si>
    <t>laurel@samcrawfordarchitects.com.au</t>
  </si>
  <si>
    <t>Elemental Architecture Pty Ltd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</si>
  <si>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Central West, Inner West, Cumberland/Prospect, New England, Southern Highlands, Orana/Far West, South East Sydney, Nepean, Central Coast, Far North Coast, Riverina/Murray, South West Sydney, Northern Sydney, Hunter, Mid North Coast, Illawarra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</si>
  <si>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SARM Architects Pty Ltd</t>
  </si>
  <si>
    <t>SARM ARCHITECTS PTY LIMITED</t>
  </si>
  <si>
    <t>http://www.sarm.com.au</t>
  </si>
  <si>
    <t>Robert McNamara</t>
  </si>
  <si>
    <t>Suite 4, 7 Ridge Street</t>
  </si>
  <si>
    <t>rmcnamara@sarm.com.au</t>
  </si>
  <si>
    <t>SARM Architects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</si>
  <si>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Orana/Far West, South East Sydney, Nepean, Central Coast, Far North Coast, Riverina/Murray, South West Sydney, Northern Sydney, Hunter, Mid North Coast, Illawarra, Central West, Inner West, Cumberland/Prospect, New England,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QLD</t>
    </r>
  </si>
  <si>
    <t>SAVILLE COMMUNICATIONS</t>
  </si>
  <si>
    <t>SPACKMAN MOSSOP MICHAELS PTY LIMITED</t>
  </si>
  <si>
    <t>http://www.spackmanmossopmichaels.com</t>
  </si>
  <si>
    <t>Michael Spackman</t>
  </si>
  <si>
    <t>Level 1, 3 Oxford Street</t>
  </si>
  <si>
    <t>info@sm2group.com.au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</si>
  <si>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New England, Southern Highlands, Orana/Far West, South East Sydney, Nepean, Central Coast, Far North Coast, Riverina/Murray, South West Sydney, Northern Sydney, Hunter, Mid North Coast, Illawarra, Central West, Inner West, Cumberland/Prospect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VIC, ACT, TAS</t>
    </r>
  </si>
  <si>
    <t>Savills Project Management Pty Ltd</t>
  </si>
  <si>
    <t>SAVILLS PROJECT MANAGEMENT PTY. LTD.</t>
  </si>
  <si>
    <t>http://www.savills.com.au/projectmanagement</t>
  </si>
  <si>
    <t>Katie Lodge</t>
  </si>
  <si>
    <t>National Bid Manager</t>
  </si>
  <si>
    <t>Level 7</t>
  </si>
  <si>
    <t>50 Bridge Street</t>
  </si>
  <si>
    <t>pmbids@savills.com.au</t>
  </si>
  <si>
    <t>Savills Project Management</t>
  </si>
  <si>
    <t>SBA ARCHITECTS PTY LTD</t>
  </si>
  <si>
    <t>SBA FUTURE INVESTMENTS PTY LTD</t>
  </si>
  <si>
    <t>http://www.sbaarch.com.au</t>
  </si>
  <si>
    <t>Greg Baird</t>
  </si>
  <si>
    <t>Suite 702</t>
  </si>
  <si>
    <t>83 Mount Street</t>
  </si>
  <si>
    <t>info@sbaarch.com.au</t>
  </si>
  <si>
    <t>SBA Architects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</si>
  <si>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West Sydney, Northern Sydney, Hunter, Mid North Coast, Illawarra, Central West, Inner West, Cumberland/Prospect, New England, Southern Highlands, Orana/Far West, South East Sydney, Nepean, Central Coast, Far North Coast, Riverina/Murray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QLD, VIC, ACT</t>
    </r>
  </si>
  <si>
    <t>Scale Architecture Pty Ltd</t>
  </si>
  <si>
    <t>SCALE ARCHITECTURE PTY LTD</t>
  </si>
  <si>
    <t>http://www.scalearchitecture.com</t>
  </si>
  <si>
    <t>Matt Chan</t>
  </si>
  <si>
    <t>9A, 94 Oxford St</t>
  </si>
  <si>
    <t>matt@scalearchitecture.com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</si>
  <si>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Cumberland/Prospect, New England, Southern Highlands, Orana/Far West, South East Sydney, Nepean, Central Coast, Far North Coast, Riverina/Murray, South West Sydney, Northern Sydney, Hunter, Mid North Coast, Illawarra, Central West, Inner West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WA, SA, ACT, TAS, NT, VIC, QLD</t>
    </r>
  </si>
  <si>
    <t>http://www.scapedesign.com.au</t>
  </si>
  <si>
    <t>office@scapedesign.com.au</t>
  </si>
  <si>
    <t>Scape Design Pty Ltd</t>
  </si>
  <si>
    <t>SCAPE STRATEGY</t>
  </si>
  <si>
    <t>SCOTT CARVER PTY LTD</t>
  </si>
  <si>
    <t>http://www.scottcarver.com.au</t>
  </si>
  <si>
    <t>Dajon Veldman</t>
  </si>
  <si>
    <t>Principal, Urban Design</t>
  </si>
  <si>
    <t>Level One, One Chifley Square</t>
  </si>
  <si>
    <t>tenders@scottcarver.com.au</t>
  </si>
  <si>
    <t>SGS Economics and Planning</t>
  </si>
  <si>
    <t>SGS ECONOMICS AND PLANNING PTY LTD</t>
  </si>
  <si>
    <t>http://www.sgsep.com.au</t>
  </si>
  <si>
    <t>Patrick Fensham</t>
  </si>
  <si>
    <t>Principal and Partner</t>
  </si>
  <si>
    <t>Studio 2.09</t>
  </si>
  <si>
    <t>50 Holt Street</t>
  </si>
  <si>
    <t>sgsnsw@sgsep.com.au</t>
  </si>
  <si>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TAS, NT, VIC, QLD, WA, SA, ACT</t>
    </r>
  </si>
  <si>
    <t>SHAC</t>
  </si>
  <si>
    <t>Schreiber Hamilton Architecture Pty Ltd</t>
  </si>
  <si>
    <t>http://www.shac.com.au</t>
  </si>
  <si>
    <t>Justin Hamilton</t>
  </si>
  <si>
    <t>224 Maitland Rd</t>
  </si>
  <si>
    <t>Islington</t>
  </si>
  <si>
    <t>tenders@shac.com.au</t>
  </si>
  <si>
    <t>Schreiber Hamilton Architecture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</si>
  <si>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Central West, Central Coast, Far North Coast, Hunter, Mid North Coast, Northern Sydney, New England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NT</t>
    </r>
  </si>
  <si>
    <t>Shakeup Design</t>
  </si>
  <si>
    <t>DO VALE, CARLA MARTINS</t>
  </si>
  <si>
    <t>http://www.shakeuparchitecture.com</t>
  </si>
  <si>
    <t>Susana do Vale</t>
  </si>
  <si>
    <t>UG 6, 45 Evans Street</t>
  </si>
  <si>
    <t>susana@shakeuparchitecture.com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</si>
  <si>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New England, Southern Highlands, Orana/Far West, South East Sydney, Nepean, Central Coast, Far North Coast, Riverina/Murray, South West Sydney, Northern Sydney, Hunter, Mid North Coast, Illawarra, Central West, Inner West, Cumberland/Prospect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WA, SA, ACT, TAS, NT, VIC, QLD</t>
    </r>
  </si>
  <si>
    <t>SIA Architects Pty Ltd</t>
  </si>
  <si>
    <t>SIA ARCHITECTS PTY LTD</t>
  </si>
  <si>
    <t>http://siaarchitects.com</t>
  </si>
  <si>
    <t>Sasha Ivanovich</t>
  </si>
  <si>
    <t>Principal Architect</t>
  </si>
  <si>
    <t>218 Palmer Street</t>
  </si>
  <si>
    <t>Darlinghurst NSW</t>
  </si>
  <si>
    <t>sasha@siaarchitects.com.au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</si>
  <si>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Coast, South West Sydney, Northern Sydney, Hunter, Inner West, Cumberland/Prospect, Mid North Coast, South East Sydney, Nepean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WA, ACT, NT</t>
    </r>
  </si>
  <si>
    <t>SIBLING ARCHITECTURE</t>
  </si>
  <si>
    <t>LCBB PTY LTD</t>
  </si>
  <si>
    <t>http://www.siblingarchitecture.com</t>
  </si>
  <si>
    <t>Qianyi Lim</t>
  </si>
  <si>
    <t>Suite 76/ 61 Marlborough St</t>
  </si>
  <si>
    <t>jane@siblingnation.net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</si>
  <si>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West, Inner West, Cumberland/Prospect, New England, Southern Highlands, Orana/Far West, South East Sydney, Nepean, Central Coast, Far North Coast, Riverina/Murray, South West Sydney, Northern Sydney, Hunter, Mid North Coast, Illawarra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ACT, TAS</t>
    </r>
  </si>
  <si>
    <t>SILVESTER FULLER</t>
  </si>
  <si>
    <t>SILVESTER FULLER PTY. LTD.</t>
  </si>
  <si>
    <t>http://www.silvesterfuller.com</t>
  </si>
  <si>
    <t>Jad Silvester</t>
  </si>
  <si>
    <t>12 LIttle Riley Street</t>
  </si>
  <si>
    <t>mail@silvesterfuller.com</t>
  </si>
  <si>
    <t>Silvester Fuller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</si>
  <si>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South West Sydney, Northern Sydney, Hunter, Mid North Coast, Illawarra, Central West, Inner West, Cumberland/Prospect, New England, Southern Highlands, Orana/Far West, South East Sydney, Nepean, Central Coast, Far North Coast, Riverina/Murray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TAS, VIC, ACT</t>
    </r>
  </si>
  <si>
    <t>Sissons Architects</t>
  </si>
  <si>
    <t>The trustee for Sissons Family Trust</t>
  </si>
  <si>
    <t>http://www.sissonsarchitects.com</t>
  </si>
  <si>
    <t>Nick Sissons</t>
  </si>
  <si>
    <t>Studio 5.01, 53 Berry Street</t>
  </si>
  <si>
    <t>nick.sissons@sissonsarchitects.com</t>
  </si>
  <si>
    <t>SJB Architecture (NSW) Pty Ltd</t>
  </si>
  <si>
    <t>THE SJB ARCHITECTURE NSW UNIT TRUST</t>
  </si>
  <si>
    <t>http://sjb.com.au</t>
  </si>
  <si>
    <t>Jonathan Knapp</t>
  </si>
  <si>
    <t>490 Crown Street</t>
  </si>
  <si>
    <t>jknapp@sjb.com.au</t>
  </si>
  <si>
    <t>SJB Architects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</si>
  <si>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Inner West, Cumberland/Prospect, New England, Southern Highlands, Orana/Far West, South East Sydney, Nepean, Central Coast, Far North Coast, Riverina/Murray, South West Sydney, Northern Sydney, Hunter, Mid North Coast, Illawarra, Central West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WA, SA, ACT, TAS, NT, VIC, QLD</t>
    </r>
  </si>
  <si>
    <t>Smart Design Studio</t>
  </si>
  <si>
    <t>SMART DESIGN STUDIO PTY LTD</t>
  </si>
  <si>
    <t>http://www.smartdesignstudio.com</t>
  </si>
  <si>
    <t>William Smart</t>
  </si>
  <si>
    <t>632 Bourke St</t>
  </si>
  <si>
    <t>studio@smartdesignstudio.com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</si>
  <si>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East Sydney, Nepean, Central Coast, Far North Coast, Riverina/Murray, South West Sydney, Northern Sydney, Hunter, Mid North Coast, Illawarra, Central West, Inner West, Cumberland/Prospect, New England, Southern Highlands, Orana/Far West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ACT, TAS, NT, VIC, QLD, WA, SA</t>
    </r>
  </si>
  <si>
    <t>SMITH &amp; TZANNES ARCHITECTURE &amp; URBAN PLANNING</t>
  </si>
  <si>
    <t>SMITH AND TZANNES PTY LTD</t>
  </si>
  <si>
    <t>https://smithtzannes.com.au/</t>
  </si>
  <si>
    <t>Peter Smith</t>
  </si>
  <si>
    <t>M1/147 McEvoy Street</t>
  </si>
  <si>
    <t>Alexandria</t>
  </si>
  <si>
    <t>email@smithtzannes.com.au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</si>
  <si>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Cumberland/Prospect, New England, Southern Highlands, Orana/Far West, South East Sydney, Nepean, Central Coast, Riverina/Murray, South West Sydney, Northern Sydney, Hunter, Mid North Coast, Illawarra, Central West, Inner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</si>
  <si>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Spacelab Studio Pty Ltd</t>
  </si>
  <si>
    <t>SPACELAB STUDIO PTY LTD</t>
  </si>
  <si>
    <t>http://www.spacelab.net.au</t>
  </si>
  <si>
    <t>Cher Shearer</t>
  </si>
  <si>
    <t>Operations Director</t>
  </si>
  <si>
    <t>5/97 Northbourne Avenue</t>
  </si>
  <si>
    <t>Canberra</t>
  </si>
  <si>
    <t>ACT</t>
  </si>
  <si>
    <t>cher@spacelab.net.au</t>
  </si>
  <si>
    <t>Spacelab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</si>
  <si>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Mid North Coast, Illawarra, Central West, Inner West, Cumberland/Prospect, New England, Southern Highlands, Orana/Far West, South East Sydney, Nepean, Central Coast, Far North Coast, Riverina/Murray, South West Sydney, Northern Sydney, Hunter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SA, VIC, ACT</t>
    </r>
  </si>
  <si>
    <t>Spedding Torres &amp; Associates</t>
  </si>
  <si>
    <t>SPEDDING,TORRES &amp;ASSOCIATES PTY LTD</t>
  </si>
  <si>
    <t>https://www.speddingtorres.com.au</t>
  </si>
  <si>
    <t>Samantha Torres</t>
  </si>
  <si>
    <t>Suite 1001, Level 10, BMA House</t>
  </si>
  <si>
    <t>135 Macquarie St</t>
  </si>
  <si>
    <t>0413 018 520</t>
  </si>
  <si>
    <t>samantha@speddingtorres.com.au</t>
  </si>
  <si>
    <t>Spedding Torres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</si>
  <si>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Far North Coast, Mid North Coast, New England,Central Coast, Hunter, Cumberland/Prospect, Nepean, NorthernSydney, Inner West, South East Sydney, South West Sydney, Illawarra,Southern Highlands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ACT</t>
    </r>
  </si>
  <si>
    <t>Sphere Company Pty Limited</t>
  </si>
  <si>
    <t>SPHERE COMPANY PTY LIMITED</t>
  </si>
  <si>
    <t>http://www.sphere.com.au</t>
  </si>
  <si>
    <t>Phil Nott</t>
  </si>
  <si>
    <t>276-278 Abercrombie Street</t>
  </si>
  <si>
    <t>pnott@sphere.com.au</t>
  </si>
  <si>
    <t>Sprout Landscape Architecture</t>
  </si>
  <si>
    <t>SPROUT LANDSCAPE ARCHITECTURE PTY LTD</t>
  </si>
  <si>
    <t>http://www.sproutstudio.com.au</t>
  </si>
  <si>
    <t>Martin Pell</t>
  </si>
  <si>
    <t>Level 6, Studio 66</t>
  </si>
  <si>
    <t>tenders@sproutstudio.com.au</t>
  </si>
  <si>
    <t>Sprout</t>
  </si>
  <si>
    <t>Stanic Harding Pty Ltd</t>
  </si>
  <si>
    <t>STANIC HARDING PTY. LIMITED</t>
  </si>
  <si>
    <t>http://stanicharding.com.au</t>
  </si>
  <si>
    <t>Andrew Stanic</t>
  </si>
  <si>
    <t>Fovo Studio 18, 151 Foveaux Street</t>
  </si>
  <si>
    <t>andrews@stanicharding.com.au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</si>
  <si>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Illawarra, Inner West, Cumberland/Prospect, Southern Highlands, South East Sydney, Nepean, Central Coast, South West Sydney, Northern Sydney, Hunter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</si>
  <si>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STANISIC ARCHITECTS</t>
  </si>
  <si>
    <t>FRANK STANISIC ARCHITECTS PTY LTD</t>
  </si>
  <si>
    <t>http://www.stanisic.com.au</t>
  </si>
  <si>
    <t>Frank Stanisic</t>
  </si>
  <si>
    <t>Level 10, 257 Clarence Street</t>
  </si>
  <si>
    <t>jnowosad@stanisic.com.au</t>
  </si>
  <si>
    <t>Stephen Collier Architects</t>
  </si>
  <si>
    <t>Stephen Collier Architects Pty Ltd</t>
  </si>
  <si>
    <t>http://www.collierarchitects.com</t>
  </si>
  <si>
    <t>Stephen Collier</t>
  </si>
  <si>
    <t>280 Balmain Road</t>
  </si>
  <si>
    <t>info@collierarchitects.com</t>
  </si>
  <si>
    <t>Stewart Architecture</t>
  </si>
  <si>
    <t>STEWART ARCHITECTURE PTY LIMITED</t>
  </si>
  <si>
    <t>http://www.stewartarchitecture.com.au</t>
  </si>
  <si>
    <t>Felicity Stewart</t>
  </si>
  <si>
    <t>Suite 2, 181 Harris Street</t>
  </si>
  <si>
    <t>f.stewart@stewartarchitecture.com.au</t>
  </si>
  <si>
    <t>Stream Lily</t>
  </si>
  <si>
    <t>MANYO DESIGN PTY LTD</t>
  </si>
  <si>
    <t>Jeremy Hodges</t>
  </si>
  <si>
    <t>Director, Principal</t>
  </si>
  <si>
    <t>37 The Corso</t>
  </si>
  <si>
    <t>jeremy@manyodesign.com.au</t>
  </si>
  <si>
    <t>Manyo Design</t>
  </si>
  <si>
    <t>STUART NIVEN URBAN DESIGN</t>
  </si>
  <si>
    <t>NIVEN, STUART CHARLES</t>
  </si>
  <si>
    <t>http://stuartcniven@gmail.com</t>
  </si>
  <si>
    <t>Stuart Niven</t>
  </si>
  <si>
    <t>Suite 3.02</t>
  </si>
  <si>
    <t>46a Macleay Street</t>
  </si>
  <si>
    <t>stuartcniven@gmail.com</t>
  </si>
  <si>
    <t>Studio Bijl</t>
  </si>
  <si>
    <t>STUDIO BIJL PTY LTD</t>
  </si>
  <si>
    <t>http://www.bijlarchitecture.com.au</t>
  </si>
  <si>
    <t>Melonie Bayl-Smith</t>
  </si>
  <si>
    <t>Director / Nominated Architect</t>
  </si>
  <si>
    <t>Suite 7</t>
  </si>
  <si>
    <t>100 Penshurst Street</t>
  </si>
  <si>
    <t>Willoughby</t>
  </si>
  <si>
    <t>mbs@bijlarchitecture.com.au</t>
  </si>
  <si>
    <t>Bijl Architecture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</si>
  <si>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Northern Sydney, Inner West, Central Coast, South East Sydney, Hunter
States and Territories: VIC, TAS</t>
    </r>
  </si>
  <si>
    <t>Studio Colin Polwarth</t>
  </si>
  <si>
    <t>STUDIO COLIN POLWARTH PTY. LTD.</t>
  </si>
  <si>
    <t>http://www.studiocolpol.com.au</t>
  </si>
  <si>
    <t>Colin Polwarth</t>
  </si>
  <si>
    <t>137 Goodlet St</t>
  </si>
  <si>
    <t>02 8068 0998</t>
  </si>
  <si>
    <t>0403 241 115</t>
  </si>
  <si>
    <t>colpol@studiocolpol.com.au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</si>
  <si>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Far North Coast, Mid North Coast, New England, CentralCoast, Hunter, Cumberland/Prospect, Nepean, Northern Sydney, Inner West,South East Sydney, South West Sydney, Central West, Orana/Far West,Riverina/Murray,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NT, VIC</t>
    </r>
  </si>
  <si>
    <t>Studio GL Pty Ltd</t>
  </si>
  <si>
    <t>STUDIO GL PTY LTD</t>
  </si>
  <si>
    <t>http://www.studiogl.com.au</t>
  </si>
  <si>
    <t>Diana Griffiths</t>
  </si>
  <si>
    <t>Director Urban Design</t>
  </si>
  <si>
    <t>77 Buckland Street</t>
  </si>
  <si>
    <t>dgriffiths@studiogl.com.au</t>
  </si>
  <si>
    <t>Studio GL</t>
  </si>
  <si>
    <t>Studio Hollenstein</t>
  </si>
  <si>
    <t>STUDIO HOLLENSTEIN PTY LTD</t>
  </si>
  <si>
    <t>http://www.studiohollenstein.com</t>
  </si>
  <si>
    <t>Matthias Hollenstein</t>
  </si>
  <si>
    <t>Level 1, 24-26 Botany Road</t>
  </si>
  <si>
    <t>matthias@studiohollenstein.com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</si>
  <si>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Coast, Far North Coast, Riverina/Murray, South West Sydney, Northern Sydney, Hunter, Mid North Coast, Illawarra, Central West, Inner West, Cumberland/Prospect, New England, Southern Highlands, Orana/Far West, South East Sydney, Nepean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ACT</t>
    </r>
  </si>
  <si>
    <t xml:space="preserve">Studio Takt Pty Ltd </t>
  </si>
  <si>
    <t>Studio Takt</t>
  </si>
  <si>
    <t>http://www.takt.net.au</t>
  </si>
  <si>
    <t>Brent Dunn</t>
  </si>
  <si>
    <t>32 Armagh Pde</t>
  </si>
  <si>
    <t>Thirroul</t>
  </si>
  <si>
    <t>0417 586 917</t>
  </si>
  <si>
    <t>studio@takt.net.au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</si>
  <si>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Far North Coast, Mid North Coast, New England, CentralCoast, Hunter, Central West, Orana/Far West, Riverina/Murray, Illawarra,Southern Highlands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ACT</t>
    </r>
  </si>
  <si>
    <t>Studio Two Architecture and Design Pty Ltd</t>
  </si>
  <si>
    <t>The trustee for Studio Two Architecture &amp; Design Trust</t>
  </si>
  <si>
    <t>http://www.studiotwoarchitecture.com.au</t>
  </si>
  <si>
    <t>Angela Brown</t>
  </si>
  <si>
    <t>Co-Director/Office Manager</t>
  </si>
  <si>
    <t>104 Brisbane Street</t>
  </si>
  <si>
    <t>Tamworth</t>
  </si>
  <si>
    <t>nick@studiotwoarchitecture.com.au</t>
  </si>
  <si>
    <t>Studio Two Archtecture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</si>
  <si>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Hunter, Mid North Coast, New England
</t>
    </r>
  </si>
  <si>
    <t>studioplusthree</t>
  </si>
  <si>
    <t>The Trustee for studioplusthree Trust</t>
  </si>
  <si>
    <t>http://www.studioplusthree.com</t>
  </si>
  <si>
    <t>Simon Rochowski</t>
  </si>
  <si>
    <t>3/25 Wellington Street</t>
  </si>
  <si>
    <t>simon@studioplusthree.com</t>
  </si>
  <si>
    <t>STUDIOPLUSTHREE PTY LTD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</si>
  <si>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Southern Highlands, Orana/Far West, South East Sydney, Nepean, Central Coast, Far North Coast, Riverina/Murray, South West Sydney, Northern Sydney, Hunter, Mid North Coast, Illawarra, Central West, Inner West, Cumberland/Prospect, New England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ACT, QLD, TAS</t>
    </r>
  </si>
  <si>
    <t>Sturt Noble Associates Pty. Ltd.</t>
  </si>
  <si>
    <t>STURT NOBLE ASSOCIATES PTY LTD</t>
  </si>
  <si>
    <t>http://www.sturtnoble.com.au</t>
  </si>
  <si>
    <t>Guy Sturt</t>
  </si>
  <si>
    <t>Suite 91/330 Wattle Street</t>
  </si>
  <si>
    <t>guys@sturtnoble.com.au</t>
  </si>
  <si>
    <t>SUE BARNSLEY DESIGN PTY LIMITED</t>
  </si>
  <si>
    <t>SUE BARNSLEY DESIGN PTY. LIMITED</t>
  </si>
  <si>
    <t>Sue Barnsley</t>
  </si>
  <si>
    <t>studio 102 120 Bourke Street</t>
  </si>
  <si>
    <t>sue@suebarnsleydesign.com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</si>
  <si>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Orana/Far West, South East Sydney, Nepean, Central Coast, Far North Coast, Riverina/Murray, South West Sydney, Northern Sydney, Hunter, Mid North Coast, Illawarra, Central West, Inner West, Cumberland/Prospect, New England, Southern Highlands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SA, ACT, TAS, NT, VIC, QLD, WA</t>
    </r>
  </si>
  <si>
    <t>SUPERCONTEXT PTY LIMITED</t>
  </si>
  <si>
    <t>http://www.supercontext.studio</t>
  </si>
  <si>
    <t>Andrew Daly</t>
  </si>
  <si>
    <t>3 Blackfriars St</t>
  </si>
  <si>
    <t>02 8325 1772</t>
  </si>
  <si>
    <t>0414 264 416</t>
  </si>
  <si>
    <t>andrew@supercontext.studio</t>
  </si>
  <si>
    <t>SUPERCONTEXT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</si>
  <si>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Far North Coast, Mid North Coast, New England, CentralCoast, Hunter, Cumberland/Prospect, Nepean, Northern Sydney, Inner West,South East Sydney, South West Sydney, Central West, Orana/Far West,Riverina/Murray,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</t>
    </r>
  </si>
  <si>
    <t>Supermanoeuvre</t>
  </si>
  <si>
    <t>SUPERMANOEUVRE PTY LTD</t>
  </si>
  <si>
    <t>http://www.supermanoeuvre.com</t>
  </si>
  <si>
    <t>Dave Pigram</t>
  </si>
  <si>
    <t>D1503/780 Bourke Street</t>
  </si>
  <si>
    <t>sydney@supermanoeuvre.com</t>
  </si>
  <si>
    <t>Sustainable Queensland</t>
  </si>
  <si>
    <t>The trustee for e2 Design Unit Trust</t>
  </si>
  <si>
    <t>http://www.e2designlab.com.au</t>
  </si>
  <si>
    <t>Sara Lloyd</t>
  </si>
  <si>
    <t>Suite 904, Carlow House</t>
  </si>
  <si>
    <t>289 Flinders Lane</t>
  </si>
  <si>
    <t>info@e2designlab.com.au</t>
  </si>
  <si>
    <t>E2Designlab</t>
  </si>
  <si>
    <t>Sym Studio Pty Limited</t>
  </si>
  <si>
    <t>Sym Studio Pty Ltd</t>
  </si>
  <si>
    <t>http://symstudio.com</t>
  </si>
  <si>
    <t>Conrad Grayson</t>
  </si>
  <si>
    <t>4F/6 Jubilee Avenue</t>
  </si>
  <si>
    <t>Warriewood-Mona Vale</t>
  </si>
  <si>
    <t>projects@symstudio.net</t>
  </si>
  <si>
    <t>Sym Studio</t>
  </si>
  <si>
    <t>Taylor Brammer Landscape Architects Pty Ltd</t>
  </si>
  <si>
    <t>TAYLOR BRAMMER LANDSCAPE ARCHITECTS PTY LIMITED</t>
  </si>
  <si>
    <t>http://www.taylorbrammer.com.au</t>
  </si>
  <si>
    <t>Iain Brammer</t>
  </si>
  <si>
    <t>26 Moore St</t>
  </si>
  <si>
    <t>Austinmer</t>
  </si>
  <si>
    <t>southcoast@taylorbrammer.com.au</t>
  </si>
  <si>
    <t>TEAM 2 DESIGN PTY LTD</t>
  </si>
  <si>
    <t>TEAM 2 ARCHITECTS PTY LIMITED</t>
  </si>
  <si>
    <t>https://www.team2.com.au/</t>
  </si>
  <si>
    <t>Zack Ashby</t>
  </si>
  <si>
    <t>701/1 Chandos Street</t>
  </si>
  <si>
    <t>zack@team2.com.au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</si>
  <si>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East Sydney, Nepean, Central Coast, Far North Coast, Riverina/Murray, South West Sydney, Northern Sydney, Hunter, Mid North Coast, Illawarra, Central West, Inner West, Cumberland/Prospect, New England, Southern Highlands, Orana/Far West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SA, TAS, ACT, VIC, QLD</t>
    </r>
  </si>
  <si>
    <t>TERROIR DATA</t>
  </si>
  <si>
    <t>TERROIR PTY LTD</t>
  </si>
  <si>
    <t>http://www.terroir.com.au</t>
  </si>
  <si>
    <t>Gerard Reinmuth</t>
  </si>
  <si>
    <t>Level 2, 79 Myrtle Street</t>
  </si>
  <si>
    <t>Reinmuth@terroir.com.au</t>
  </si>
  <si>
    <t>TERROIR</t>
  </si>
  <si>
    <t>The Trustee for Destravis Unit Trust</t>
  </si>
  <si>
    <t>http://www.destravis.com</t>
  </si>
  <si>
    <t>Gunther Graeve</t>
  </si>
  <si>
    <t>572 Main Road</t>
  </si>
  <si>
    <t>Wellington Point</t>
  </si>
  <si>
    <t>gunther.degraeve@destravis.com</t>
  </si>
  <si>
    <t>Destravis</t>
  </si>
  <si>
    <t>The Trustee for THE BREWSTER MURRAY UNIT TRUST</t>
  </si>
  <si>
    <t>Brewster Murray</t>
  </si>
  <si>
    <t>https://www.brewstermurray.com.au</t>
  </si>
  <si>
    <t>David Burke</t>
  </si>
  <si>
    <t>99 York St</t>
  </si>
  <si>
    <t>02 9299 0988</t>
  </si>
  <si>
    <t>0414 824 035</t>
  </si>
  <si>
    <t>d.burke@brewstermurray.com.au</t>
  </si>
  <si>
    <t>002284077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</si>
  <si>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England,Central Coast, Hunter, Cumberland/Prospect, Nepean, NorthernSydney, Inner West, South East Sydney, South West Sydney, CentralWest, Orana/Far West, Riverina/Murray, Illawarra, SouthernHighlands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QLD, SA, TAS, VIC, WA</t>
    </r>
  </si>
  <si>
    <t>Thompson Berrill Landscape Design Pty Ltd</t>
  </si>
  <si>
    <t>THOMPSON BERRILL LANDSCAPE DESIGN PTY LTD</t>
  </si>
  <si>
    <t>http://www.tbld.com.au</t>
  </si>
  <si>
    <t>Glenn Berrill</t>
  </si>
  <si>
    <t>Level 1, Park House</t>
  </si>
  <si>
    <t>34 Belgrave St</t>
  </si>
  <si>
    <t>info@tbld.com.au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</si>
  <si>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Illawarra, Central West, Inner West, Cumberland/Prospect, New England, Southern Highlands, Orana/Far West, South East Sydney, Nepean, Central Coast, Far North Coast, Riverina/Murray, South West Sydney, Northern Sydney, Hunter, Mid North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VIC</t>
    </r>
  </si>
  <si>
    <t>Thomson Adsett (NSW) Pty Ltd</t>
  </si>
  <si>
    <t>THOMSON ADSETT (NSW) PTY LTD</t>
  </si>
  <si>
    <t>https://thomsonadsett.com/</t>
  </si>
  <si>
    <t>Robert Puflett</t>
  </si>
  <si>
    <t>Architect | Partner</t>
  </si>
  <si>
    <t>Level 4, Suite 410, 50 Holt Street</t>
  </si>
  <si>
    <t>marketing@thomsonadsett.com</t>
  </si>
  <si>
    <t>Thomson Adsett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</si>
  <si>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Riverina/Murray, South West Sydney, Northern Sydney, Hunter, Mid North Coast, Illawarra, Central West, Inner West, Cumberland/Prospect, New England, Southern Highlands, Orana/Far West, South East Sydney, Nepean, Central Coast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QLD, TAS, VIC, ACT</t>
    </r>
  </si>
  <si>
    <t>Tiny Kiosk</t>
  </si>
  <si>
    <t>TINY KIOSK PTY. LTD.</t>
  </si>
  <si>
    <t>http://www.whittlearchitects.com</t>
  </si>
  <si>
    <t>Josh Henderson</t>
  </si>
  <si>
    <t>Unit 9 / 5 Alfred Street</t>
  </si>
  <si>
    <t>josh@whittlearchitects.com</t>
  </si>
  <si>
    <t>Whittle Architects</t>
  </si>
  <si>
    <t>TKD ARCHITECTS</t>
  </si>
  <si>
    <t>TANNER KIBBLE DENTON ARCHITECTS PTY LTD</t>
  </si>
  <si>
    <t>http://www.tkda.com.au</t>
  </si>
  <si>
    <t>Alex Kibble</t>
  </si>
  <si>
    <t>First Floor, 19 Foster St</t>
  </si>
  <si>
    <t>dweber@tkda.com.au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</si>
  <si>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Inner West, Cumberland/Prospect, New England, Southern Highlands, South East Sydney, Nepean, Central Coast, Far North Coast, South West Sydney, Northern Sydney, Hunter, Mid North Coast, Illawarra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VIC, ACT, QLD</t>
    </r>
  </si>
  <si>
    <t>Tonkin Zulaikha Greer</t>
  </si>
  <si>
    <t>TONKIN ZULAIKHA GREER PTY LIMITED</t>
  </si>
  <si>
    <t>http://www.tzg.com.au</t>
  </si>
  <si>
    <t>Elle Lawson</t>
  </si>
  <si>
    <t>Communications Manager</t>
  </si>
  <si>
    <t>117 Reservoir Street</t>
  </si>
  <si>
    <t>tzg@tzg.com.au</t>
  </si>
  <si>
    <t>Tony Owen Partners</t>
  </si>
  <si>
    <t>http://www.tonyowen.com.au</t>
  </si>
  <si>
    <t>Tony Owen</t>
  </si>
  <si>
    <t>L2, 12 Queen Street</t>
  </si>
  <si>
    <t>towen@tonyowen.com.au</t>
  </si>
  <si>
    <t>TRACT CONSULTANTS PTY LTD</t>
  </si>
  <si>
    <t>The Trustee for TRACT CONSULTANTS UNIT TRUST</t>
  </si>
  <si>
    <t>http://www.tract.net.au</t>
  </si>
  <si>
    <t>Linda Hoang</t>
  </si>
  <si>
    <t>Principal Landscape Architect</t>
  </si>
  <si>
    <t>Level 8,</t>
  </si>
  <si>
    <t>80 Mount Street</t>
  </si>
  <si>
    <t>0409 994 177</t>
  </si>
  <si>
    <t>sydney@tract.net.au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</si>
  <si>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Cumberland/Prospect, New England, Southern Highlands, Orana/Far West, South East Sydney, Nepean, Central Coast, Far North Coast, Riverina/Murray, South West Sydney, Northern Sydney, Hunter, Mid North Coast, Illawarra, Central West, Inner West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SA, ACT, TAS, VIC, QLD</t>
    </r>
  </si>
  <si>
    <t>Tribe Studio Pty Ltd</t>
  </si>
  <si>
    <t>http://www.tribestudio.com.au</t>
  </si>
  <si>
    <t>Hannah Tribe</t>
  </si>
  <si>
    <t>Level 6, 110 Kippax St</t>
  </si>
  <si>
    <t>hannah@tribestudio.com.au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</si>
  <si>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East Sydney, Nepean, Central Coast, Far North Coast, Riverina/Murray, South West Sydney, Northern Sydney, Hunter, Mid North Coast, Illawarra, Central West, Inner West, Cumberland/Prospect, New England, Southern Highlands, Orana/Far West
</t>
    </r>
  </si>
  <si>
    <t>Turf Design Studio</t>
  </si>
  <si>
    <t>TURF DESIGN STUDIO PTY LTD</t>
  </si>
  <si>
    <t>http://www.turfdesign.com</t>
  </si>
  <si>
    <t>Nicole Wilson</t>
  </si>
  <si>
    <t>95 The Kingsway</t>
  </si>
  <si>
    <t>Cronulla</t>
  </si>
  <si>
    <t>mike.horne@turfdesign.com</t>
  </si>
  <si>
    <t>tyrrellstudio pty ltd</t>
  </si>
  <si>
    <t>TYRRELLSTUDIO PTY. LTD.</t>
  </si>
  <si>
    <t>http://www.tyrrellstudio.com</t>
  </si>
  <si>
    <t>Mark Tyrrell</t>
  </si>
  <si>
    <t>Level 2 and 3</t>
  </si>
  <si>
    <t>47 Sydney Rd</t>
  </si>
  <si>
    <t>mark@tyrrellstudio.com</t>
  </si>
  <si>
    <t>tyrrellstudio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</si>
  <si>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Illawarra, Central West, Inner West, Cumberland/Prospect, New England, Southern Highlands, Orana/Far West, South East Sydney, Nepean, Central Coast, Far North Coast, Riverina/Murray, South West Sydney, Northern Sydney, Hunter, Mid North Coast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ACT, VIC</t>
    </r>
  </si>
  <si>
    <t>URBAN AFFAIRS</t>
  </si>
  <si>
    <t>ELTON CONSULTING GROUP PTY LTD</t>
  </si>
  <si>
    <t>http://www.elton.com.au</t>
  </si>
  <si>
    <t>Martin Muldoon</t>
  </si>
  <si>
    <t>Level 6, 332-342 Oxford Street</t>
  </si>
  <si>
    <t>consulting@elton.com.au</t>
  </si>
  <si>
    <t>URBAN INITIATIVES PTY LTD</t>
  </si>
  <si>
    <t>http://www.urbaninitiatives.com.au/</t>
  </si>
  <si>
    <t>Marnie Swan</t>
  </si>
  <si>
    <t>Ground Floor, 143 Franklin Street</t>
  </si>
  <si>
    <t>waikin@urbaninitiatives.com.au</t>
  </si>
  <si>
    <t>Urban Possible Pty Ltd</t>
  </si>
  <si>
    <t>URBAN POSSIBLE PTY LTD</t>
  </si>
  <si>
    <t>http://www.urbanpossible.com</t>
  </si>
  <si>
    <t>Sean Choo</t>
  </si>
  <si>
    <t>Suite 102, George Street</t>
  </si>
  <si>
    <t>sean@urbanpossible.com</t>
  </si>
  <si>
    <t>UP Architects</t>
  </si>
  <si>
    <t xml:space="preserve">Urbis Pty LTD </t>
  </si>
  <si>
    <t>http://urbis.com.au</t>
  </si>
  <si>
    <t>Stephen Davies</t>
  </si>
  <si>
    <t>Angel Place</t>
  </si>
  <si>
    <t>Level 8, 123 Pitt Street</t>
  </si>
  <si>
    <t>glee@urbis.com.au</t>
  </si>
  <si>
    <t>Urbis Pty Ltd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</si>
  <si>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Central Coast, Far North Coast, Riverina/Murray, South West Sydney, Northern Sydney, Hunter, Mid North Coast, Illawarra, Central West, Inner West, Cumberland/Prospect, New England, Southern Highlands, Orana/Far West, South East Sydney, Nepean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TAS, NT, VIC, QLD, WA, SA, ACT</t>
    </r>
  </si>
  <si>
    <t>Warren and Mahoney Architects Australia Pty Ltd</t>
  </si>
  <si>
    <t>WARREN AND MAHONEY ARCHITECTS AUSTRALIA PTY LIMITED</t>
  </si>
  <si>
    <t>http://www.warrenandmahoney.com</t>
  </si>
  <si>
    <t>Asher Haynes</t>
  </si>
  <si>
    <t>Business Development Advisor</t>
  </si>
  <si>
    <t>Suite 13.03 Level 13</t>
  </si>
  <si>
    <t>02 8021  9809</t>
  </si>
  <si>
    <t>0411 616 839</t>
  </si>
  <si>
    <t>au.tenders@warrenandmahoney.com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</si>
  <si>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England,Central Coast, Hunter, Cumberland/Prospect, Nepean, NorthernSydney, Inner West, South East Sydney, South West Sydney, Central West, Orana/Far West, Riverina/Murray, Illawarra, Southern Highlands</t>
    </r>
  </si>
  <si>
    <t>WELSH &amp; MAJOR ARCHITECTS</t>
  </si>
  <si>
    <t>C MAJOR &amp; D WELSH</t>
  </si>
  <si>
    <t>http://www.welshmajor.com</t>
  </si>
  <si>
    <t>David Welsh</t>
  </si>
  <si>
    <t>Partner - Architect</t>
  </si>
  <si>
    <t>mail@welshmajor.com</t>
  </si>
  <si>
    <t>Welsh and Major Architects</t>
  </si>
  <si>
    <t>Weston Williamson + Partners</t>
  </si>
  <si>
    <t>WESTONWILLIAMSON&amp;PARTNERS PTY LTD</t>
  </si>
  <si>
    <t>http://www.westonwilliamson.com</t>
  </si>
  <si>
    <t>Will Riley</t>
  </si>
  <si>
    <t>Suite 4, Level 1</t>
  </si>
  <si>
    <t>2-12 Foveaux Street,</t>
  </si>
  <si>
    <t>will.riley@westonwilliamson.com.au</t>
  </si>
  <si>
    <t>WILKINSONEYRE AUSTRALIA PTY LTD</t>
  </si>
  <si>
    <t>http://www.wilkinsoneyre.com</t>
  </si>
  <si>
    <t>Stuart Dow</t>
  </si>
  <si>
    <t>Associate Principal</t>
  </si>
  <si>
    <t>201 Kent St</t>
  </si>
  <si>
    <t>+61 02 9247 0740</t>
  </si>
  <si>
    <t>0431 142 575</t>
  </si>
  <si>
    <t>newbusiness@wilkinsoneyre.com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</si>
  <si>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 CentralCoast, Hunter, Cumberland/Prospect, Nepean, Northern Sydney, Inner West,South East Sydney, South West Sydney, Central West, Orana/Far West,Riverina/Murray,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NT, QLD, SA, TAS, VIC, WA</t>
    </r>
  </si>
  <si>
    <t>WILLIAMS ROSS ARCHITECTS</t>
  </si>
  <si>
    <t>WILLIAMS ROSSARCHITECTS PTYLTD</t>
  </si>
  <si>
    <t>http://williamsross.com</t>
  </si>
  <si>
    <t>Tammy Beck</t>
  </si>
  <si>
    <t>Suite 1</t>
  </si>
  <si>
    <t>70 Kerr St</t>
  </si>
  <si>
    <t>Fitzroy</t>
  </si>
  <si>
    <t>03 9416 3044</t>
  </si>
  <si>
    <t>lreed@williamsross.com</t>
  </si>
  <si>
    <t>005624868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</si>
  <si>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Far North Coast, Mid North Coast, New England, CentralCoast, Hunter, Cumberland/Prospect, Nepean, Northern Sydney, Inner West,South East Sydney, South West Sydney, Central West, Orana/Far West,Riverina/Murray, Illawarra, Southern Highlands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ACT, NT, QLD, SA, TAS, VIC, WA</t>
    </r>
  </si>
  <si>
    <t>WMK ARCHITECTURE PTY LTD</t>
  </si>
  <si>
    <t>http://www.wmkarchitecture.com</t>
  </si>
  <si>
    <t>Claire Davies</t>
  </si>
  <si>
    <t>Director Client Engagement</t>
  </si>
  <si>
    <t>364 Kent Street</t>
  </si>
  <si>
    <t>cdavies@wmkarchitecture.com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</si>
  <si>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Inner West, Cumberland/Prospect, New England, Southern Highlands, South East Sydney, Nepean, Central Coast, Far North Coast, South West Sydney, Northern Sydney, Hunter, Mid North Coast, Illawarra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QLD</t>
    </r>
  </si>
  <si>
    <t>WOODS BAGOT PTY LTD</t>
  </si>
  <si>
    <t>WOODS BAGOT PTY. LTD.</t>
  </si>
  <si>
    <t>http://www.woodsbagot.com</t>
  </si>
  <si>
    <t>Alexandra Worland</t>
  </si>
  <si>
    <t>Senior Associate</t>
  </si>
  <si>
    <t>60 Carrington Street</t>
  </si>
  <si>
    <t>russel.whitford@woodsbagot.com</t>
  </si>
  <si>
    <t>Woods Bagot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</si>
  <si>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East Sydney, Nepean, New England, South West Sydney, Northern Sydney, Central Coast, Illawarra, Inner West, Cumberland/Prospect, Far North Coast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VIC, ACT, WA, QLD, SA</t>
    </r>
  </si>
  <si>
    <t>Xeriscapes</t>
  </si>
  <si>
    <t>CKDS Architecture Pty Limited</t>
  </si>
  <si>
    <t>http://www.ckds.com.au</t>
  </si>
  <si>
    <t>Caine King</t>
  </si>
  <si>
    <t>1/28 Adelaide St</t>
  </si>
  <si>
    <t>East Gosford</t>
  </si>
  <si>
    <t>admin@ckds.com.au</t>
  </si>
  <si>
    <t>CKDS Architecture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</si>
  <si>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West Sydney, Northern Sydney, New England, Illawarra, Inner West, Central Coast, Far North Coast, Southern Highlands, South East Sydney, Hunter, Mid North Coast
</t>
    </r>
  </si>
  <si>
    <t>YOUSSOFZAY AND HART PTY LTD</t>
  </si>
  <si>
    <t>http://www.youssofzayhart.com.au</t>
  </si>
  <si>
    <t>David Hart</t>
  </si>
  <si>
    <t>Office 210</t>
  </si>
  <si>
    <t>3A Joynton Ave</t>
  </si>
  <si>
    <t>Zetland</t>
  </si>
  <si>
    <t>david@youssofzayhart.com.au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</si>
  <si>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Riverina/Murray, South West Sydney, Northern Sydney, Hunter, Mid North Coast, Illawarra, Central West, Inner West, Cumberland/Prospect, New England, Southern Highlands, Orana/Far West, South East Sydney, Nepean, Central Coast, Far North Coast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TAS, NT, VIC, QLD, WA, SA, ACT</t>
    </r>
  </si>
  <si>
    <t>MCGREGOR COXALL AUSTRALIA PTY LTD</t>
  </si>
  <si>
    <t>55 639 279 655</t>
  </si>
  <si>
    <t>639 279 655</t>
  </si>
  <si>
    <t>Arcadia Landscape Architecture Pty Ltd</t>
  </si>
  <si>
    <t>Arcadia Landscape Architecture Pty Limited</t>
  </si>
  <si>
    <t>https://arcadiala.com.au/</t>
  </si>
  <si>
    <t>Ruth Bartlet-Pullen</t>
  </si>
  <si>
    <t>Suite 76</t>
  </si>
  <si>
    <t>23-32 Pirrama Rd</t>
  </si>
  <si>
    <t>02 8571 2900</t>
  </si>
  <si>
    <t>0419 900 001</t>
  </si>
  <si>
    <t>ruth@arcadiala.com.au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</si>
  <si>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 CentralCoast, Hunter, Cumberland/Prospect, Nepean, Northern Sydney, Inner West,South East Sydney, South West Sydney, Central West, Orana/Far West,Riverina/Murray,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QLD, TAS, VIC</t>
    </r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</si>
  <si>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 Central Coast, Hunter, Cumberland/Prospect, Nepean, Northern Sydney, Inner West, South East Sydney, South West Sydney, Central West, Orana/Far West, Riverina/Murray, Illawarra, Southern Highlands</t>
    </r>
  </si>
  <si>
    <t>836 5687 7404</t>
  </si>
  <si>
    <t>6 5687 7404</t>
  </si>
  <si>
    <t>Ed Lippman</t>
  </si>
  <si>
    <t>practice@lippmann.com.au</t>
  </si>
  <si>
    <t>TCL</t>
  </si>
  <si>
    <t>Architect George</t>
  </si>
  <si>
    <t>JBS</t>
  </si>
  <si>
    <t>EMBECE</t>
  </si>
  <si>
    <t>EMBECE PTY LTD</t>
  </si>
  <si>
    <t>https://embece.com.au/</t>
  </si>
  <si>
    <t>studio@embece.com.au</t>
  </si>
  <si>
    <t>Mrs Chi Melhem</t>
  </si>
  <si>
    <t>30 O'Connor St</t>
  </si>
  <si>
    <t>02 9125 0569</t>
  </si>
  <si>
    <t>0414 789 686</t>
  </si>
  <si>
    <t>JBS&amp;G AUSTRALIA PTY LTD</t>
  </si>
  <si>
    <t>http://www.consentium.com.au</t>
  </si>
  <si>
    <t>Mrs Rhana Fleming</t>
  </si>
  <si>
    <t>Senior Principal</t>
  </si>
  <si>
    <t>50 Margaret Street</t>
  </si>
  <si>
    <t>02 9212 6957</t>
  </si>
  <si>
    <t>0400 471 469</t>
  </si>
  <si>
    <t>0408 465 048</t>
  </si>
  <si>
    <t>0427 782 855</t>
  </si>
  <si>
    <t>0418 476 926</t>
  </si>
  <si>
    <t>rhana.fleming@consentium.com.au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</si>
  <si>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South West Sydney, Northern Sydney, Hunter, Mid North Coast, Illawarra, Central West, Inner West, Cumberland/Prospect, New England, Southern Highlands, Orana/Far West, South East Sydney, Nepean, Central Coast, Far North Coast, Riverina/Murray</t>
    </r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</si>
  <si>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Northern Sydney, Central Coast, Illawarra, Cumberland/Prospect, Southern Highlands, Nepean, Mid North Coast</t>
    </r>
  </si>
  <si>
    <t>TAYLOR &amp; CULLITYPTY. LTD.</t>
  </si>
  <si>
    <t>http://www.tcl.net.au</t>
  </si>
  <si>
    <t>Mr. Cameron Uecker</t>
  </si>
  <si>
    <t>Studio Lead</t>
  </si>
  <si>
    <t>385 Drummond Street</t>
  </si>
  <si>
    <t>Carlton</t>
  </si>
  <si>
    <t>03 9380 4344</t>
  </si>
  <si>
    <t>0422 645 026</t>
  </si>
  <si>
    <t>melb@tcl.net.au</t>
  </si>
  <si>
    <t>WILLIAMS, DEAN ROBERT</t>
  </si>
  <si>
    <t>https://www.architect-george.com/</t>
  </si>
  <si>
    <t>Mr Dean Williams</t>
  </si>
  <si>
    <t>563 Crown St</t>
  </si>
  <si>
    <t>02 8054 0477</t>
  </si>
  <si>
    <t>0448 332 600</t>
  </si>
  <si>
    <t>office@architect-george.com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</si>
  <si>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Far North Coast, Mid North Coast, New England, CentralCoast, Hunter, Cumberland/Prospect, Nepean, Northern Sydney, Inner West,South East Sydney, South West Sydney,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TAS</t>
    </r>
  </si>
  <si>
    <t>0468 515 410</t>
  </si>
  <si>
    <t>02 49434398</t>
  </si>
  <si>
    <t>0431 218 496</t>
  </si>
  <si>
    <t>O7740573</t>
  </si>
  <si>
    <t>Paul Buljevic</t>
  </si>
  <si>
    <t>paul@pbdarchitects.com.au</t>
  </si>
  <si>
    <t>Matthew Pullinger Architect</t>
  </si>
  <si>
    <t>PULLINGER, MATTHEW</t>
  </si>
  <si>
    <t>Matthew Pullinger</t>
  </si>
  <si>
    <t>4 Phillips St</t>
  </si>
  <si>
    <t>matthew@pullinger.com.au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</si>
  <si>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 Central Coast, Hunter, Cumberland/Prospect, Nepean, Northern Sydney, Inner West,South East Sydney, South West Sydney, Central West, Orana/Far West,Riverina/Murray,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QLD, VIC</t>
    </r>
  </si>
  <si>
    <t>atoma design</t>
  </si>
  <si>
    <t>BELINDA PAJKOVIC GROUP PTY LTD</t>
  </si>
  <si>
    <t>https://atomadesign.com.au</t>
  </si>
  <si>
    <t>Belinda Pajkovic</t>
  </si>
  <si>
    <t>0411 797 669</t>
  </si>
  <si>
    <t>101-111 William St</t>
  </si>
  <si>
    <t>belinda@atomadesign.com.au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</si>
  <si>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Central Coast, Hunter, Cumberland/Prospect, Nepean,Northern Sydney, Inner West, South East Sydney, South West Sydney,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QLD, VIC</t>
    </r>
  </si>
  <si>
    <t>Gensler</t>
  </si>
  <si>
    <t>https://www.gensler.com/offices/sydney</t>
  </si>
  <si>
    <t>Saskia Ruting</t>
  </si>
  <si>
    <t>Marketing Specialist</t>
  </si>
  <si>
    <t>6 O'Connell St</t>
  </si>
  <si>
    <t>(02) 9009 2700</t>
  </si>
  <si>
    <t>saskia_ruting@gensler.com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</si>
  <si>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 Central Coast, Hunter, Cumberland/Prospect, Nepean, Northern Sydney, Inner West, South East Sydney, South West Sydney, Central West, Orana/FarWest, Riverina/Murray, Illawarra, Southern Highlands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ACT, NT, QLD, SA, TAS, VIC, WA</t>
    </r>
  </si>
  <si>
    <t>GENSLER AUSTRALIA PTY LTD</t>
  </si>
  <si>
    <t>LinkedIn:  www.linkedin.com/in/matthew-pullinger-54591122
Instagram:   @mpullinger
Twitter:   @arch_matt</t>
  </si>
  <si>
    <t>TONY OWEN ARCHITECTS PTY LTD</t>
  </si>
  <si>
    <t xml:space="preserve">	32639234932</t>
  </si>
  <si>
    <t xml:space="preserve">
28317605875</t>
  </si>
  <si>
    <t>Studio Johnston Architects Pty Ltd</t>
  </si>
  <si>
    <t>Studio Johnston</t>
  </si>
  <si>
    <t>contact@studiojohnston.com.au</t>
  </si>
  <si>
    <t>https://www.studiojohnston.com.au/</t>
  </si>
  <si>
    <t>Conrad Johnston</t>
  </si>
  <si>
    <t>The Trustee for Scape Design Unit Trust</t>
  </si>
  <si>
    <t>SCAPE Design Pty Ltd</t>
  </si>
  <si>
    <t>Christopher Houghton</t>
  </si>
  <si>
    <t>15 The Corso</t>
  </si>
  <si>
    <r>
      <rPr>
        <b/>
        <sz val="14"/>
        <color theme="1"/>
        <rFont val="Arial"/>
        <family val="2"/>
      </rPr>
      <t xml:space="preserve">	
NSW Regions: </t>
    </r>
    <r>
      <rPr>
        <sz val="14"/>
        <color theme="1"/>
        <rFont val="Arial"/>
        <family val="2"/>
      </rPr>
      <t xml:space="preserve">Far North Coast, Mid North Coast, New England, Central Coast, Hunter, Cumberland/Prospect, Nepean, Northern Sydney, Inner West, South East Sydney, South West Sydney, Central West, Illawarra, Southern Highlands
</t>
    </r>
  </si>
  <si>
    <t xml:space="preserve">Social Infrastructure Solutions </t>
  </si>
  <si>
    <t>AJC Architects</t>
  </si>
  <si>
    <t>AJC ARCHITECTS PTY LTD</t>
  </si>
  <si>
    <t>Michael Heenan</t>
  </si>
  <si>
    <t>Director + CEO</t>
  </si>
  <si>
    <t>Wardle</t>
  </si>
  <si>
    <t>WARDLE STUDIO PTY LTD</t>
  </si>
  <si>
    <t>http://wardle.studio</t>
  </si>
  <si>
    <t>477 Pitt Street</t>
  </si>
  <si>
    <t>Haymarket</t>
  </si>
  <si>
    <t>tenders@wardle.studio</t>
  </si>
  <si>
    <t>006814268</t>
  </si>
  <si>
    <t>Grimshaw Architects</t>
  </si>
  <si>
    <t>http://grimshaw.global</t>
  </si>
  <si>
    <t>Business Development and Communications Manager</t>
  </si>
  <si>
    <t>333 George St</t>
  </si>
  <si>
    <t>02 9253 0214</t>
  </si>
  <si>
    <t>94 Illawarra Road</t>
  </si>
  <si>
    <t>Marrickville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</si>
  <si>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>Mid North Coast, New England, Central Coast, Hunter, Cumberland/Prospect, Nepean, Northern Sydney, Inner West, South East Sydney, South West Sydney, Central West, Illawarra, Southern Highlands</t>
    </r>
    <r>
      <rPr>
        <b/>
        <sz val="14"/>
        <color theme="1"/>
        <rFont val="Arial"/>
        <family val="2"/>
      </rPr>
      <t xml:space="preserve">
States and Territories: </t>
    </r>
    <r>
      <rPr>
        <sz val="14"/>
        <color theme="1"/>
        <rFont val="Arial"/>
        <family val="2"/>
      </rPr>
      <t>ACT, QLD</t>
    </r>
  </si>
  <si>
    <t>AILEEN SAGE ARCHITECTS</t>
  </si>
  <si>
    <t>Level 2 397 Riley Street</t>
  </si>
  <si>
    <t>0414 711 254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</si>
  <si>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>Far North Coast, Mid North Coast, New England, Central Coast, Hunter, Cumberland/Prospect, Nepean, Northern Sydney, Inner West, South East Sydney, South West Sydney, Central West, Orana/Far West, Riverina/Murray, Illawarra, Southern Highland</t>
    </r>
    <r>
      <rPr>
        <b/>
        <sz val="14"/>
        <color theme="1"/>
        <rFont val="Arial"/>
        <family val="2"/>
      </rPr>
      <t xml:space="preserve">s
States and Territories: </t>
    </r>
    <r>
      <rPr>
        <sz val="14"/>
        <color theme="1"/>
        <rFont val="Arial"/>
        <family val="2"/>
      </rPr>
      <t>ACT, VIC</t>
    </r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</si>
  <si>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Far North Coast, Mid North Coast, New England, Central Coast, Hunter, Cumberland/Prospect, Nepean, Northern Sydney, Inner West,South East Sydney, South West Sydney, Central West, Orana/Far West, Riverina/Murray, Illawarra, Southern Highlands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ACT, QLD, TAS, VIC</t>
    </r>
  </si>
  <si>
    <t>Level 2, 333 George St</t>
  </si>
  <si>
    <t>02 8065 8766</t>
  </si>
  <si>
    <t>0435 494 860</t>
  </si>
  <si>
    <t>office adam grice</t>
  </si>
  <si>
    <t>GRICE, ADAM ALEXANDER</t>
  </si>
  <si>
    <t>http://www.officeadamgrice.com</t>
  </si>
  <si>
    <t>Adam Grice</t>
  </si>
  <si>
    <t>7 Sherbrooke Street</t>
  </si>
  <si>
    <t>+61 415 234 282</t>
  </si>
  <si>
    <t>adam@officeadamgrice.com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</si>
  <si>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>: Far North Coast, Mid North Coast, New England, Central Coast, Hunter, Cumberland/Prospect, Nepean, Northern Sydney, Inner West, South East Sydney, South West Sydney, Central West, Orana/Far West, Riverina/Murray, Illawarra, Southern Highlands</t>
    </r>
  </si>
  <si>
    <t>Ian Armstrong</t>
  </si>
  <si>
    <t>Level 14</t>
  </si>
  <si>
    <t>85 Castlereagh Street</t>
  </si>
  <si>
    <t>0422 636 412</t>
  </si>
  <si>
    <t>03008820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</si>
  <si>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 xml:space="preserve">Far North Coast, Mid North Coast, New England, Central Coast, Hunter, Cumberland/Prospect, Nepean, Northern Sydney, Inner West, South East Sydney, South West Sydney, Central West, Orana/Far West, Riverina/Murray, Illawarra, Southern Highlands
</t>
    </r>
    <r>
      <rPr>
        <b/>
        <sz val="14"/>
        <color theme="1"/>
        <rFont val="Arial"/>
        <family val="2"/>
      </rPr>
      <t xml:space="preserve">States and Territories: </t>
    </r>
    <r>
      <rPr>
        <sz val="14"/>
        <color theme="1"/>
        <rFont val="Arial"/>
        <family val="2"/>
      </rPr>
      <t>ACT, QLD</t>
    </r>
  </si>
  <si>
    <t>The Trustee for CO-AP UNIT TRUST</t>
  </si>
  <si>
    <t>April 2023</t>
  </si>
  <si>
    <t>NH Architecture</t>
  </si>
  <si>
    <t>NH ARCHITECTURE PTY LTD</t>
  </si>
  <si>
    <t>https://nharchitecture.net/</t>
  </si>
  <si>
    <t>Nick Bourns</t>
  </si>
  <si>
    <t>Level 7 Cannons House</t>
  </si>
  <si>
    <t>12-20 Flinders Lane</t>
  </si>
  <si>
    <t>03 9654 4955</t>
  </si>
  <si>
    <t>+61 416 061 383</t>
  </si>
  <si>
    <t>tenders@nharch.net</t>
  </si>
  <si>
    <r>
      <rPr>
        <b/>
        <sz val="14"/>
        <color theme="1"/>
        <rFont val="Arial"/>
        <family val="2"/>
      </rPr>
      <t xml:space="preserve">NSW Regions: </t>
    </r>
    <r>
      <rPr>
        <sz val="14"/>
        <color theme="1"/>
        <rFont val="Arial"/>
        <family val="2"/>
      </rPr>
      <t>Far North Coast, Mid North Coast, New England, Central Coast, Hunter, Cumberland/Prospect, Nepean, Northern Sydney, Inner West, South East Sydney, South West Sydney, Central West, Orana/Far West, Riverina/Murray, Illawarra, Southern Highlands
States and Territories: ACT, NT, QLD, SA, TAS, VIC, WA</t>
    </r>
  </si>
  <si>
    <t xml:space="preserve">Nguluway DI </t>
  </si>
  <si>
    <t>NGULUWAY DI SYDNEY PTY LIMITED</t>
  </si>
  <si>
    <t>http://www.nguluway.designinc.com.au</t>
  </si>
  <si>
    <t>Craig Kerslake</t>
  </si>
  <si>
    <t>02 8905 7100</t>
  </si>
  <si>
    <t>0410 496 427</t>
  </si>
  <si>
    <t>admin@nguluway.designinc.com.au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</si>
  <si>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Cumberland/Prospect, Nepean, Northern Sydney, Inner West, South East Sydney, South West Sydney,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NT</t>
    </r>
  </si>
  <si>
    <t>Jensen PLUS</t>
  </si>
  <si>
    <t>MMCK PTY LTD</t>
  </si>
  <si>
    <t>https://www.jensenplus.com.au</t>
  </si>
  <si>
    <t>Michael McKeown</t>
  </si>
  <si>
    <t>21 Roper Street</t>
  </si>
  <si>
    <t>08 8338 5511</t>
  </si>
  <si>
    <t>0415 766 814</t>
  </si>
  <si>
    <t>admin1@jensenplus.com.au</t>
  </si>
  <si>
    <r>
      <rPr>
        <b/>
        <sz val="14"/>
        <color theme="1"/>
        <rFont val="Arial"/>
        <family val="2"/>
      </rPr>
      <t>NSW Regions:</t>
    </r>
    <r>
      <rPr>
        <sz val="14"/>
        <color theme="1"/>
        <rFont val="Arial"/>
        <family val="2"/>
      </rPr>
      <t xml:space="preserve"> Far North Coast, Mid North Coast, New England, Central Coast, Hunter, Cumberland/Prospect, Nepean, Northern Sydney, Inner West, South East Sydney, South West Sydney, Central West, Orana/Far West, Riverina/Murray,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NT, QLD, SA, TAS, VIC, WA</t>
    </r>
  </si>
  <si>
    <t>Arup Australia Pty Ltd</t>
  </si>
  <si>
    <t>ARUP AUSTRALIA PTY LTD</t>
  </si>
  <si>
    <t>http://arup.com</t>
  </si>
  <si>
    <t>Anna Robinson</t>
  </si>
  <si>
    <t>Planning &amp; Design Lead - Australasia</t>
  </si>
  <si>
    <t>Level 5, Barrack Place</t>
  </si>
  <si>
    <t>151 Clarence St</t>
  </si>
  <si>
    <t>02 9320 9320</t>
  </si>
  <si>
    <t>nsw.tenders@arup.com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</si>
  <si>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Far North Coast, Mid North Coast, New England, Central Coast, Hunter, Cumberland/Prospect, Nepean, Northern Sydney, Inner West, South East Sydney, South West Sydney, Central West, Orana/Far West, Riverina/Murray, Illawarra, Southern Highlands
</t>
    </r>
    <r>
      <rPr>
        <b/>
        <sz val="14"/>
        <color theme="1"/>
        <rFont val="Arial"/>
        <family val="2"/>
      </rPr>
      <t>States and Territories:</t>
    </r>
    <r>
      <rPr>
        <sz val="14"/>
        <color theme="1"/>
        <rFont val="Arial"/>
        <family val="2"/>
      </rPr>
      <t xml:space="preserve"> ACT, NT, QLD, SA, TAS, VIC, WA</t>
    </r>
  </si>
  <si>
    <t>CRAFT ARCHITECTURE SYDNEY</t>
  </si>
  <si>
    <t>PETERS, CHARLES</t>
  </si>
  <si>
    <t>http://craft-arch.com.au</t>
  </si>
  <si>
    <t>Charles Peter</t>
  </si>
  <si>
    <t>L9 187 Macquarie St</t>
  </si>
  <si>
    <t>0415 447 388</t>
  </si>
  <si>
    <t>charles@craft-arch.com.au</t>
  </si>
  <si>
    <r>
      <rPr>
        <b/>
        <sz val="14"/>
        <color theme="1"/>
        <rFont val="Arial"/>
        <family val="2"/>
      </rPr>
      <t>NSW Regions</t>
    </r>
    <r>
      <rPr>
        <sz val="14"/>
        <color theme="1"/>
        <rFont val="Arial"/>
        <family val="2"/>
      </rPr>
      <t xml:space="preserve">: Central Coast, Hunter, Cumberland/Prospect, Nepean, Northern Sydney, Inner West, South East Sydney, South West Sydney, Central West, Illawarra, Southern Highlands
</t>
    </r>
    <r>
      <rPr>
        <b/>
        <sz val="14"/>
        <color theme="1"/>
        <rFont val="Arial"/>
        <family val="2"/>
      </rPr>
      <t>States and Territories</t>
    </r>
    <r>
      <rPr>
        <sz val="14"/>
        <color theme="1"/>
        <rFont val="Arial"/>
        <family val="2"/>
      </rPr>
      <t>: ACT, SA</t>
    </r>
  </si>
  <si>
    <t>MAAP ARCHITECTS</t>
  </si>
  <si>
    <t>Medical Architecture Australasia Pacific Pty Limited</t>
  </si>
  <si>
    <t>http://www.maaparchitects.com</t>
  </si>
  <si>
    <t>Mungo Smith</t>
  </si>
  <si>
    <t>Suite 6, Level 1, 2-12 Fouveaux St</t>
  </si>
  <si>
    <t>02 9380 2625</t>
  </si>
  <si>
    <t>0413 249 882</t>
  </si>
  <si>
    <t>mail@maaparchitects.com</t>
  </si>
  <si>
    <t>RP Infrastructure</t>
  </si>
  <si>
    <t>RP INFRASTRUCTURE PTY LTD</t>
  </si>
  <si>
    <t>http://www.rpinfrastructure.com.au</t>
  </si>
  <si>
    <t>Level 9, 20 Bond Street</t>
  </si>
  <si>
    <t>submissions@rpinfrastructure.com.au</t>
  </si>
  <si>
    <t>GSBN Studio</t>
  </si>
  <si>
    <t>GOODWIN SCARFONE BELGIORNO-NETTIS PTY LTD</t>
  </si>
  <si>
    <t>https://www.gsbnstudio.com.au/</t>
  </si>
  <si>
    <t>Alessandro Belgiorno-Nettis</t>
  </si>
  <si>
    <t>44 Douglas Street</t>
  </si>
  <si>
    <t>0481348568</t>
  </si>
  <si>
    <t>0439442702</t>
  </si>
  <si>
    <t>alessandro@gsbnstudio.com.au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</si>
</sst>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sz val="14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4" fillId="2" borderId="0" xfId="0" applyFont="1" applyFill="1" applyAlignment="1">
      <alignment vertical="center" wrapText="1"/>
    </xf>
    <xf numFmtId="15" fontId="4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/>
    <xf numFmtId="0" fontId="13" fillId="5" borderId="2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vertical="center"/>
    </xf>
    <xf numFmtId="0" fontId="14" fillId="0" borderId="2" xfId="1" applyFont="1" applyBorder="1" applyAlignment="1">
      <alignment horizontal="left" vertical="center" wrapText="1"/>
    </xf>
    <xf numFmtId="0" fontId="15" fillId="2" borderId="0" xfId="0" applyFont="1" applyFill="1"/>
    <xf numFmtId="0" fontId="16" fillId="2" borderId="1" xfId="0" applyFont="1" applyFill="1" applyBorder="1" applyAlignment="1">
      <alignment horizontal="left" vertical="top" wrapText="1"/>
    </xf>
    <xf numFmtId="0" fontId="15" fillId="0" borderId="0" xfId="0" applyFont="1"/>
    <xf numFmtId="0" fontId="7" fillId="0" borderId="2" xfId="0" quotePrefix="1" applyFont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4" fillId="0" borderId="0" xfId="1" applyFont="1" applyAlignment="1">
      <alignment wrapText="1"/>
    </xf>
    <xf numFmtId="0" fontId="12" fillId="0" borderId="2" xfId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quotePrefix="1" applyNumberFormat="1" applyFont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0" borderId="2" xfId="0" quotePrefix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lippmann.com.au/" TargetMode="External"/><Relationship Id="rId299" Type="http://schemas.openxmlformats.org/officeDocument/2006/relationships/hyperlink" Target="mailto:ashley@dunnhillam.com.au" TargetMode="External"/><Relationship Id="rId21" Type="http://schemas.openxmlformats.org/officeDocument/2006/relationships/hyperlink" Target="http://www.aja.com.au/" TargetMode="External"/><Relationship Id="rId63" Type="http://schemas.openxmlformats.org/officeDocument/2006/relationships/hyperlink" Target="http://www.crone.com.au/" TargetMode="External"/><Relationship Id="rId159" Type="http://schemas.openxmlformats.org/officeDocument/2006/relationships/hyperlink" Target="http://www.purcellap.com/" TargetMode="External"/><Relationship Id="rId324" Type="http://schemas.openxmlformats.org/officeDocument/2006/relationships/hyperlink" Target="mailto:ttzanlis@hayball.com.au" TargetMode="External"/><Relationship Id="rId366" Type="http://schemas.openxmlformats.org/officeDocument/2006/relationships/hyperlink" Target="mailto:john@newscapedesign.com.au" TargetMode="External"/><Relationship Id="rId170" Type="http://schemas.openxmlformats.org/officeDocument/2006/relationships/hyperlink" Target="http://www.sarm.com.au/" TargetMode="External"/><Relationship Id="rId226" Type="http://schemas.openxmlformats.org/officeDocument/2006/relationships/hyperlink" Target="http://www.acorn-projects.com.au/" TargetMode="External"/><Relationship Id="rId433" Type="http://schemas.openxmlformats.org/officeDocument/2006/relationships/hyperlink" Target="mailto:guys@sturtnoble.com.au" TargetMode="External"/><Relationship Id="rId268" Type="http://schemas.openxmlformats.org/officeDocument/2006/relationships/hyperlink" Target="mailto:cathykubany@gmail.com" TargetMode="External"/><Relationship Id="rId475" Type="http://schemas.openxmlformats.org/officeDocument/2006/relationships/hyperlink" Target="http://www.baukultur.com.au/" TargetMode="External"/><Relationship Id="rId32" Type="http://schemas.openxmlformats.org/officeDocument/2006/relationships/hyperlink" Target="http://www.bka.com.au/" TargetMode="External"/><Relationship Id="rId74" Type="http://schemas.openxmlformats.org/officeDocument/2006/relationships/hyperlink" Target="http://www.dwp.com/" TargetMode="External"/><Relationship Id="rId128" Type="http://schemas.openxmlformats.org/officeDocument/2006/relationships/hyperlink" Target="http://www.mgsarchitects.com.au/" TargetMode="External"/><Relationship Id="rId335" Type="http://schemas.openxmlformats.org/officeDocument/2006/relationships/hyperlink" Target="mailto:john@jocconsulting.com.au" TargetMode="External"/><Relationship Id="rId377" Type="http://schemas.openxmlformats.org/officeDocument/2006/relationships/hyperlink" Target="mailto:andrew@panovscott.com.au" TargetMode="External"/><Relationship Id="rId500" Type="http://schemas.openxmlformats.org/officeDocument/2006/relationships/hyperlink" Target="mailto:studio@embece.com.au" TargetMode="External"/><Relationship Id="rId5" Type="http://schemas.openxmlformats.org/officeDocument/2006/relationships/hyperlink" Target="https://globalsouth.net.au/" TargetMode="External"/><Relationship Id="rId181" Type="http://schemas.openxmlformats.org/officeDocument/2006/relationships/hyperlink" Target="http://www.siblingarchitecture.com/" TargetMode="External"/><Relationship Id="rId237" Type="http://schemas.openxmlformats.org/officeDocument/2006/relationships/hyperlink" Target="mailto:office@andrewburns.net.au" TargetMode="External"/><Relationship Id="rId402" Type="http://schemas.openxmlformats.org/officeDocument/2006/relationships/hyperlink" Target="mailto:rmcnamara@sarm.com.au" TargetMode="External"/><Relationship Id="rId279" Type="http://schemas.openxmlformats.org/officeDocument/2006/relationships/hyperlink" Target="mailto:bella.brant@colliers.com" TargetMode="External"/><Relationship Id="rId444" Type="http://schemas.openxmlformats.org/officeDocument/2006/relationships/hyperlink" Target="mailto:josh@whittlearchitects.com" TargetMode="External"/><Relationship Id="rId486" Type="http://schemas.openxmlformats.org/officeDocument/2006/relationships/hyperlink" Target="mailto:d.burke@brewstermurray.com.au" TargetMode="External"/><Relationship Id="rId43" Type="http://schemas.openxmlformats.org/officeDocument/2006/relationships/hyperlink" Target="http://www.carterwilliamson.com/" TargetMode="External"/><Relationship Id="rId139" Type="http://schemas.openxmlformats.org/officeDocument/2006/relationships/hyperlink" Target="http://www.noxongiffen.com/" TargetMode="External"/><Relationship Id="rId290" Type="http://schemas.openxmlformats.org/officeDocument/2006/relationships/hyperlink" Target="mailto:jc@cullenfeng.com.au" TargetMode="External"/><Relationship Id="rId304" Type="http://schemas.openxmlformats.org/officeDocument/2006/relationships/hyperlink" Target="mailto:studio@eelestrelease.com" TargetMode="External"/><Relationship Id="rId346" Type="http://schemas.openxmlformats.org/officeDocument/2006/relationships/hyperlink" Target="mailto:troy@lewiszwart.com.au" TargetMode="External"/><Relationship Id="rId388" Type="http://schemas.openxmlformats.org/officeDocument/2006/relationships/hyperlink" Target="mailto:immie@placelogic.com.au" TargetMode="External"/><Relationship Id="rId511" Type="http://schemas.openxmlformats.org/officeDocument/2006/relationships/hyperlink" Target="https://www.gensler.com/offices/sydney" TargetMode="External"/><Relationship Id="rId85" Type="http://schemas.openxmlformats.org/officeDocument/2006/relationships/hyperlink" Target="http://www.fultontrotter.com.au/" TargetMode="External"/><Relationship Id="rId150" Type="http://schemas.openxmlformats.org/officeDocument/2006/relationships/hyperlink" Target="http://www.pvh.com.au/" TargetMode="External"/><Relationship Id="rId192" Type="http://schemas.openxmlformats.org/officeDocument/2006/relationships/hyperlink" Target="http://www.collierarchitects.com/" TargetMode="External"/><Relationship Id="rId206" Type="http://schemas.openxmlformats.org/officeDocument/2006/relationships/hyperlink" Target="http://www.terroir.com.au/" TargetMode="External"/><Relationship Id="rId413" Type="http://schemas.openxmlformats.org/officeDocument/2006/relationships/hyperlink" Target="mailto:jane@siblingnation.net" TargetMode="External"/><Relationship Id="rId248" Type="http://schemas.openxmlformats.org/officeDocument/2006/relationships/hyperlink" Target="mailto:mraggatt@armarchitecture.com.au" TargetMode="External"/><Relationship Id="rId455" Type="http://schemas.openxmlformats.org/officeDocument/2006/relationships/hyperlink" Target="mailto:glee@urbis.com.au" TargetMode="External"/><Relationship Id="rId497" Type="http://schemas.openxmlformats.org/officeDocument/2006/relationships/hyperlink" Target="https://arcadiala.com.au/" TargetMode="External"/><Relationship Id="rId12" Type="http://schemas.openxmlformats.org/officeDocument/2006/relationships/hyperlink" Target="http://www.allaboutplanning.com.au/" TargetMode="External"/><Relationship Id="rId108" Type="http://schemas.openxmlformats.org/officeDocument/2006/relationships/hyperlink" Target="http://www.kennedyassociates.com.au/" TargetMode="External"/><Relationship Id="rId315" Type="http://schemas.openxmlformats.org/officeDocument/2006/relationships/hyperlink" Target="mailto:future@genton.com.au" TargetMode="External"/><Relationship Id="rId357" Type="http://schemas.openxmlformats.org/officeDocument/2006/relationships/hyperlink" Target="mailto:mark@mckarchitects.com" TargetMode="External"/><Relationship Id="rId522" Type="http://schemas.openxmlformats.org/officeDocument/2006/relationships/hyperlink" Target="mailto:nsw.tenders@arup.com" TargetMode="External"/><Relationship Id="rId54" Type="http://schemas.openxmlformats.org/officeDocument/2006/relationships/hyperlink" Target="http://www.collinsandturner.com/" TargetMode="External"/><Relationship Id="rId96" Type="http://schemas.openxmlformats.org/officeDocument/2006/relationships/hyperlink" Target="http://www.hillthalis.com.au/" TargetMode="External"/><Relationship Id="rId161" Type="http://schemas.openxmlformats.org/officeDocument/2006/relationships/hyperlink" Target="http://www.redbellydesign.com.au/" TargetMode="External"/><Relationship Id="rId217" Type="http://schemas.openxmlformats.org/officeDocument/2006/relationships/hyperlink" Target="http://www.urbaninitiatives.com.au/" TargetMode="External"/><Relationship Id="rId399" Type="http://schemas.openxmlformats.org/officeDocument/2006/relationships/hyperlink" Target="mailto:tenders@rpsgroup.com.au" TargetMode="External"/><Relationship Id="rId259" Type="http://schemas.openxmlformats.org/officeDocument/2006/relationships/hyperlink" Target="mailto:wa@wilsonarchitects.com.au" TargetMode="External"/><Relationship Id="rId424" Type="http://schemas.openxmlformats.org/officeDocument/2006/relationships/hyperlink" Target="mailto:info@collierarchitects.com" TargetMode="External"/><Relationship Id="rId466" Type="http://schemas.openxmlformats.org/officeDocument/2006/relationships/hyperlink" Target="http://www.epnsw.com.au/" TargetMode="External"/><Relationship Id="rId23" Type="http://schemas.openxmlformats.org/officeDocument/2006/relationships/hyperlink" Target="http://www.architectus.com.au/" TargetMode="External"/><Relationship Id="rId119" Type="http://schemas.openxmlformats.org/officeDocument/2006/relationships/hyperlink" Target="http://www.makearchitects.com/" TargetMode="External"/><Relationship Id="rId270" Type="http://schemas.openxmlformats.org/officeDocument/2006/relationships/hyperlink" Target="mailto:mail@chenchowlittle.com" TargetMode="External"/><Relationship Id="rId326" Type="http://schemas.openxmlformats.org/officeDocument/2006/relationships/hyperlink" Target="mailto:alistairmein@hka.com" TargetMode="External"/><Relationship Id="rId65" Type="http://schemas.openxmlformats.org/officeDocument/2006/relationships/hyperlink" Target="http://www.custance.com.au/" TargetMode="External"/><Relationship Id="rId130" Type="http://schemas.openxmlformats.org/officeDocument/2006/relationships/hyperlink" Target="http://ww.michaeldaviesarchitecture.com/" TargetMode="External"/><Relationship Id="rId368" Type="http://schemas.openxmlformats.org/officeDocument/2006/relationships/hyperlink" Target="mailto:architects@nobbsradford.com.au" TargetMode="External"/><Relationship Id="rId172" Type="http://schemas.openxmlformats.org/officeDocument/2006/relationships/hyperlink" Target="http://www.savills.com.au/projectmanagement" TargetMode="External"/><Relationship Id="rId228" Type="http://schemas.openxmlformats.org/officeDocument/2006/relationships/hyperlink" Target="mailto:info@aaltoconsulting.com.au" TargetMode="External"/><Relationship Id="rId435" Type="http://schemas.openxmlformats.org/officeDocument/2006/relationships/hyperlink" Target="mailto:sydney@supermanoeuvre.com" TargetMode="External"/><Relationship Id="rId477" Type="http://schemas.openxmlformats.org/officeDocument/2006/relationships/hyperlink" Target="http://www.warrenandmahoney.com/" TargetMode="External"/><Relationship Id="rId281" Type="http://schemas.openxmlformats.org/officeDocument/2006/relationships/hyperlink" Target="mailto:info@collinscaddaye.com.au" TargetMode="External"/><Relationship Id="rId337" Type="http://schemas.openxmlformats.org/officeDocument/2006/relationships/hyperlink" Target="mailto:tenders@wardle.studio" TargetMode="External"/><Relationship Id="rId502" Type="http://schemas.openxmlformats.org/officeDocument/2006/relationships/hyperlink" Target="mailto:rhana.fleming@consentium.com.au" TargetMode="External"/><Relationship Id="rId34" Type="http://schemas.openxmlformats.org/officeDocument/2006/relationships/hyperlink" Target="http://www.bickertonmasters.com.au/" TargetMode="External"/><Relationship Id="rId76" Type="http://schemas.openxmlformats.org/officeDocument/2006/relationships/hyperlink" Target="http://www.aej.com.au/" TargetMode="External"/><Relationship Id="rId141" Type="http://schemas.openxmlformats.org/officeDocument/2006/relationships/hyperlink" Target="http://www.olastudio.com.au/" TargetMode="External"/><Relationship Id="rId379" Type="http://schemas.openxmlformats.org/officeDocument/2006/relationships/hyperlink" Target="mailto:Garth@pdsdesign.com.au" TargetMode="External"/><Relationship Id="rId7" Type="http://schemas.openxmlformats.org/officeDocument/2006/relationships/hyperlink" Target="http://www.adrianopupilli.com.au/" TargetMode="External"/><Relationship Id="rId183" Type="http://schemas.openxmlformats.org/officeDocument/2006/relationships/hyperlink" Target="http://www.sissonsarchitects.com/" TargetMode="External"/><Relationship Id="rId239" Type="http://schemas.openxmlformats.org/officeDocument/2006/relationships/hyperlink" Target="mailto:info@candalepas.com.au" TargetMode="External"/><Relationship Id="rId390" Type="http://schemas.openxmlformats.org/officeDocument/2006/relationships/hyperlink" Target="mailto:brainsford@r-ad.com.au" TargetMode="External"/><Relationship Id="rId404" Type="http://schemas.openxmlformats.org/officeDocument/2006/relationships/hyperlink" Target="mailto:pmbids@savills.com.au" TargetMode="External"/><Relationship Id="rId446" Type="http://schemas.openxmlformats.org/officeDocument/2006/relationships/hyperlink" Target="mailto:tzg@tzg.com.au" TargetMode="External"/><Relationship Id="rId250" Type="http://schemas.openxmlformats.org/officeDocument/2006/relationships/hyperlink" Target="mailto:dcianci@artscapeconsulting.com.au" TargetMode="External"/><Relationship Id="rId292" Type="http://schemas.openxmlformats.org/officeDocument/2006/relationships/hyperlink" Target="mailto:paul@dsquaredconsulting.com.au" TargetMode="External"/><Relationship Id="rId306" Type="http://schemas.openxmlformats.org/officeDocument/2006/relationships/hyperlink" Target="mailto:syd-tenders@ethosurban.com" TargetMode="External"/><Relationship Id="rId488" Type="http://schemas.openxmlformats.org/officeDocument/2006/relationships/hyperlink" Target="mailto:samantha@speddingtorres.com.au" TargetMode="External"/><Relationship Id="rId45" Type="http://schemas.openxmlformats.org/officeDocument/2006/relationships/hyperlink" Target="http://www.cdarchitects.com.au/" TargetMode="External"/><Relationship Id="rId87" Type="http://schemas.openxmlformats.org/officeDocument/2006/relationships/hyperlink" Target="http://www.gallagherstudio.com.au/" TargetMode="External"/><Relationship Id="rId110" Type="http://schemas.openxmlformats.org/officeDocument/2006/relationships/hyperlink" Target="http://www.kollanyiarchitects.com.au/" TargetMode="External"/><Relationship Id="rId348" Type="http://schemas.openxmlformats.org/officeDocument/2006/relationships/hyperlink" Target="mailto:practice@lippmann.com.au" TargetMode="External"/><Relationship Id="rId513" Type="http://schemas.openxmlformats.org/officeDocument/2006/relationships/hyperlink" Target="http://www.officeadamgrice.com/" TargetMode="External"/><Relationship Id="rId152" Type="http://schemas.openxmlformats.org/officeDocument/2006/relationships/hyperlink" Target="http://batessmart.com.au/" TargetMode="External"/><Relationship Id="rId194" Type="http://schemas.openxmlformats.org/officeDocument/2006/relationships/hyperlink" Target="http://stuartcniven@gmail.com" TargetMode="External"/><Relationship Id="rId208" Type="http://schemas.openxmlformats.org/officeDocument/2006/relationships/hyperlink" Target="http://www.tbld.com.au/" TargetMode="External"/><Relationship Id="rId415" Type="http://schemas.openxmlformats.org/officeDocument/2006/relationships/hyperlink" Target="mailto:nick.sissons@sissonsarchitects.com" TargetMode="External"/><Relationship Id="rId457" Type="http://schemas.openxmlformats.org/officeDocument/2006/relationships/hyperlink" Target="mailto:will.riley@westonwilliamson.com.au" TargetMode="External"/><Relationship Id="rId261" Type="http://schemas.openxmlformats.org/officeDocument/2006/relationships/hyperlink" Target="mailto:toby@brkspr.com" TargetMode="External"/><Relationship Id="rId499" Type="http://schemas.openxmlformats.org/officeDocument/2006/relationships/hyperlink" Target="https://embece.com.au/" TargetMode="External"/><Relationship Id="rId14" Type="http://schemas.openxmlformats.org/officeDocument/2006/relationships/hyperlink" Target="http://www.aba-architects.com.au/" TargetMode="External"/><Relationship Id="rId56" Type="http://schemas.openxmlformats.org/officeDocument/2006/relationships/hyperlink" Target="http://www.coso.com.au/" TargetMode="External"/><Relationship Id="rId317" Type="http://schemas.openxmlformats.org/officeDocument/2006/relationships/hyperlink" Target="mailto:simon.mcpherson@globalsouth.net.au" TargetMode="External"/><Relationship Id="rId359" Type="http://schemas.openxmlformats.org/officeDocument/2006/relationships/hyperlink" Target="mailto:rmcgauran@mgsarchitects.com.au" TargetMode="External"/><Relationship Id="rId524" Type="http://schemas.openxmlformats.org/officeDocument/2006/relationships/hyperlink" Target="mailto:charles@craft-arch.com.au" TargetMode="External"/><Relationship Id="rId98" Type="http://schemas.openxmlformats.org/officeDocument/2006/relationships/hyperlink" Target="http://www.greenanddale.com.au/" TargetMode="External"/><Relationship Id="rId121" Type="http://schemas.openxmlformats.org/officeDocument/2006/relationships/hyperlink" Target="http://www.mapa.net.au/" TargetMode="External"/><Relationship Id="rId163" Type="http://schemas.openxmlformats.org/officeDocument/2006/relationships/hyperlink" Target="http://www.webberarchitects.com/" TargetMode="External"/><Relationship Id="rId219" Type="http://schemas.openxmlformats.org/officeDocument/2006/relationships/hyperlink" Target="http://urbis.com.au/" TargetMode="External"/><Relationship Id="rId370" Type="http://schemas.openxmlformats.org/officeDocument/2006/relationships/hyperlink" Target="mailto:dgiffen@noxongiffen.com" TargetMode="External"/><Relationship Id="rId426" Type="http://schemas.openxmlformats.org/officeDocument/2006/relationships/hyperlink" Target="mailto:jeremy@manyodesign.com.au" TargetMode="External"/><Relationship Id="rId230" Type="http://schemas.openxmlformats.org/officeDocument/2006/relationships/hyperlink" Target="mailto:james.grant@aecom.com" TargetMode="External"/><Relationship Id="rId251" Type="http://schemas.openxmlformats.org/officeDocument/2006/relationships/hyperlink" Target="mailto:tanya.taylor@aspect-studios.com" TargetMode="External"/><Relationship Id="rId468" Type="http://schemas.openxmlformats.org/officeDocument/2006/relationships/hyperlink" Target="http://www.populous.com/" TargetMode="External"/><Relationship Id="rId489" Type="http://schemas.openxmlformats.org/officeDocument/2006/relationships/hyperlink" Target="http://www.studiocolpol.com.au/" TargetMode="External"/><Relationship Id="rId25" Type="http://schemas.openxmlformats.org/officeDocument/2006/relationships/hyperlink" Target="http://www.arkilab.dk/" TargetMode="External"/><Relationship Id="rId46" Type="http://schemas.openxmlformats.org/officeDocument/2006/relationships/hyperlink" Target="http://www.chenchowlittle.com/" TargetMode="External"/><Relationship Id="rId67" Type="http://schemas.openxmlformats.org/officeDocument/2006/relationships/hyperlink" Target="http://www.davenport-campbell.com.au/" TargetMode="External"/><Relationship Id="rId272" Type="http://schemas.openxmlformats.org/officeDocument/2006/relationships/hyperlink" Target="mailto:tenders@chrofi.com" TargetMode="External"/><Relationship Id="rId293" Type="http://schemas.openxmlformats.org/officeDocument/2006/relationships/hyperlink" Target="mailto:dcinfo@davenport-campbell.com.au" TargetMode="External"/><Relationship Id="rId307" Type="http://schemas.openxmlformats.org/officeDocument/2006/relationships/hyperlink" Target="mailto:pmichaelides@fkaustralia.com" TargetMode="External"/><Relationship Id="rId328" Type="http://schemas.openxmlformats.org/officeDocument/2006/relationships/hyperlink" Target="mailto:jeremy@ineni.co" TargetMode="External"/><Relationship Id="rId349" Type="http://schemas.openxmlformats.org/officeDocument/2006/relationships/hyperlink" Target="mailto:michelle.aguas@macegroup.com" TargetMode="External"/><Relationship Id="rId514" Type="http://schemas.openxmlformats.org/officeDocument/2006/relationships/hyperlink" Target="mailto:adam@officeadamgrice.com" TargetMode="External"/><Relationship Id="rId88" Type="http://schemas.openxmlformats.org/officeDocument/2006/relationships/hyperlink" Target="http://www.genton.com.au/" TargetMode="External"/><Relationship Id="rId111" Type="http://schemas.openxmlformats.org/officeDocument/2006/relationships/hyperlink" Target="http://www.kreisgrennan.com.au/" TargetMode="External"/><Relationship Id="rId132" Type="http://schemas.openxmlformats.org/officeDocument/2006/relationships/hyperlink" Target="http://www.myersellyett.com.au/" TargetMode="External"/><Relationship Id="rId153" Type="http://schemas.openxmlformats.org/officeDocument/2006/relationships/hyperlink" Target="http://www.paadesign.com.au/" TargetMode="External"/><Relationship Id="rId174" Type="http://schemas.openxmlformats.org/officeDocument/2006/relationships/hyperlink" Target="http://www.scalearchitecture.com/" TargetMode="External"/><Relationship Id="rId195" Type="http://schemas.openxmlformats.org/officeDocument/2006/relationships/hyperlink" Target="http://www.bijlarchitecture.com.au/" TargetMode="External"/><Relationship Id="rId209" Type="http://schemas.openxmlformats.org/officeDocument/2006/relationships/hyperlink" Target="https://thomsonadsett.com/" TargetMode="External"/><Relationship Id="rId360" Type="http://schemas.openxmlformats.org/officeDocument/2006/relationships/hyperlink" Target="mailto:chris_stanley@mi.com.au" TargetMode="External"/><Relationship Id="rId381" Type="http://schemas.openxmlformats.org/officeDocument/2006/relationships/hyperlink" Target="mailto:tenders@ptw.com.au" TargetMode="External"/><Relationship Id="rId416" Type="http://schemas.openxmlformats.org/officeDocument/2006/relationships/hyperlink" Target="mailto:jknapp@sjb.com.au" TargetMode="External"/><Relationship Id="rId220" Type="http://schemas.openxmlformats.org/officeDocument/2006/relationships/hyperlink" Target="http://www.welshmajor.com/" TargetMode="External"/><Relationship Id="rId241" Type="http://schemas.openxmlformats.org/officeDocument/2006/relationships/hyperlink" Target="mailto:studio@archeroffice.com" TargetMode="External"/><Relationship Id="rId437" Type="http://schemas.openxmlformats.org/officeDocument/2006/relationships/hyperlink" Target="mailto:projects@symstudio.net" TargetMode="External"/><Relationship Id="rId458" Type="http://schemas.openxmlformats.org/officeDocument/2006/relationships/hyperlink" Target="mailto:cdavies@wmkarchitecture.com" TargetMode="External"/><Relationship Id="rId479" Type="http://schemas.openxmlformats.org/officeDocument/2006/relationships/hyperlink" Target="http://www.takt.net.au/" TargetMode="External"/><Relationship Id="rId15" Type="http://schemas.openxmlformats.org/officeDocument/2006/relationships/hyperlink" Target="http://www.andrewburns.net.au/" TargetMode="External"/><Relationship Id="rId36" Type="http://schemas.openxmlformats.org/officeDocument/2006/relationships/hyperlink" Target="http://www.wilsonarchitects.com.au/" TargetMode="External"/><Relationship Id="rId57" Type="http://schemas.openxmlformats.org/officeDocument/2006/relationships/hyperlink" Target="http://www.conradgargett.com.au/" TargetMode="External"/><Relationship Id="rId262" Type="http://schemas.openxmlformats.org/officeDocument/2006/relationships/hyperlink" Target="mailto:donnagh.murphy@brewsterhjorth.com.au" TargetMode="External"/><Relationship Id="rId283" Type="http://schemas.openxmlformats.org/officeDocument/2006/relationships/hyperlink" Target="mailto:tenders@conradgargett.com.au" TargetMode="External"/><Relationship Id="rId318" Type="http://schemas.openxmlformats.org/officeDocument/2006/relationships/hyperlink" Target="mailto:finance@gmu.com.au" TargetMode="External"/><Relationship Id="rId339" Type="http://schemas.openxmlformats.org/officeDocument/2006/relationships/hyperlink" Target="mailto:anthony@kennedyassociates.com.au" TargetMode="External"/><Relationship Id="rId490" Type="http://schemas.openxmlformats.org/officeDocument/2006/relationships/hyperlink" Target="mailto:colpol@studiocolpol.com.au" TargetMode="External"/><Relationship Id="rId504" Type="http://schemas.openxmlformats.org/officeDocument/2006/relationships/hyperlink" Target="mailto:melb@tcl.net.au" TargetMode="External"/><Relationship Id="rId525" Type="http://schemas.openxmlformats.org/officeDocument/2006/relationships/hyperlink" Target="http://www.maaparchitects.com/" TargetMode="External"/><Relationship Id="rId78" Type="http://schemas.openxmlformats.org/officeDocument/2006/relationships/hyperlink" Target="http://www.eoghanlewis.com.au/" TargetMode="External"/><Relationship Id="rId99" Type="http://schemas.openxmlformats.org/officeDocument/2006/relationships/hyperlink" Target="http://www.ineni.co/" TargetMode="External"/><Relationship Id="rId101" Type="http://schemas.openxmlformats.org/officeDocument/2006/relationships/hyperlink" Target="http://www.idgarchitects.com.au/" TargetMode="External"/><Relationship Id="rId122" Type="http://schemas.openxmlformats.org/officeDocument/2006/relationships/hyperlink" Target="http://www.marrayeh.com/" TargetMode="External"/><Relationship Id="rId143" Type="http://schemas.openxmlformats.org/officeDocument/2006/relationships/hyperlink" Target="http://www.oma.eu/" TargetMode="External"/><Relationship Id="rId164" Type="http://schemas.openxmlformats.org/officeDocument/2006/relationships/hyperlink" Target="http://www.reidcampbell.com/" TargetMode="External"/><Relationship Id="rId185" Type="http://schemas.openxmlformats.org/officeDocument/2006/relationships/hyperlink" Target="http://www.smartdesignstudio.com/" TargetMode="External"/><Relationship Id="rId350" Type="http://schemas.openxmlformats.org/officeDocument/2006/relationships/hyperlink" Target="mailto:simonlincoln@makearchitects.com" TargetMode="External"/><Relationship Id="rId371" Type="http://schemas.openxmlformats.org/officeDocument/2006/relationships/hyperlink" Target="mailto:kim@oculus.com.au" TargetMode="External"/><Relationship Id="rId406" Type="http://schemas.openxmlformats.org/officeDocument/2006/relationships/hyperlink" Target="mailto:matt@scalearchitecture.com" TargetMode="External"/><Relationship Id="rId9" Type="http://schemas.openxmlformats.org/officeDocument/2006/relationships/hyperlink" Target="http://www.aileensage.com/" TargetMode="External"/><Relationship Id="rId210" Type="http://schemas.openxmlformats.org/officeDocument/2006/relationships/hyperlink" Target="http://www.whittlearchitects.com/" TargetMode="External"/><Relationship Id="rId392" Type="http://schemas.openxmlformats.org/officeDocument/2006/relationships/hyperlink" Target="mailto:Hello@regionaldesignservice.com" TargetMode="External"/><Relationship Id="rId427" Type="http://schemas.openxmlformats.org/officeDocument/2006/relationships/hyperlink" Target="mailto:stuartcniven@gmail.com" TargetMode="External"/><Relationship Id="rId448" Type="http://schemas.openxmlformats.org/officeDocument/2006/relationships/hyperlink" Target="mailto:sydney@tract.net.au" TargetMode="External"/><Relationship Id="rId469" Type="http://schemas.openxmlformats.org/officeDocument/2006/relationships/hyperlink" Target="mailto:rebecca.kell@populous.com" TargetMode="External"/><Relationship Id="rId26" Type="http://schemas.openxmlformats.org/officeDocument/2006/relationships/hyperlink" Target="http://www.armarchitecture.com.au/" TargetMode="External"/><Relationship Id="rId231" Type="http://schemas.openxmlformats.org/officeDocument/2006/relationships/hyperlink" Target="mailto:studio@aileensage.com" TargetMode="External"/><Relationship Id="rId252" Type="http://schemas.openxmlformats.org/officeDocument/2006/relationships/hyperlink" Target="mailto:smason@aspectarch.com" TargetMode="External"/><Relationship Id="rId273" Type="http://schemas.openxmlformats.org/officeDocument/2006/relationships/hyperlink" Target="mailto:admin@citypeople.com.au" TargetMode="External"/><Relationship Id="rId294" Type="http://schemas.openxmlformats.org/officeDocument/2006/relationships/hyperlink" Target="mailto:tenders@dem.com.au" TargetMode="External"/><Relationship Id="rId308" Type="http://schemas.openxmlformats.org/officeDocument/2006/relationships/hyperlink" Target="mailto:jamesf@fitzpatrickpartners.com" TargetMode="External"/><Relationship Id="rId329" Type="http://schemas.openxmlformats.org/officeDocument/2006/relationships/hyperlink" Target="mailto:info@ontoit.com" TargetMode="External"/><Relationship Id="rId480" Type="http://schemas.openxmlformats.org/officeDocument/2006/relationships/hyperlink" Target="mailto:studio@takt.net.au" TargetMode="External"/><Relationship Id="rId515" Type="http://schemas.openxmlformats.org/officeDocument/2006/relationships/hyperlink" Target="https://nharchitecture.net/" TargetMode="External"/><Relationship Id="rId47" Type="http://schemas.openxmlformats.org/officeDocument/2006/relationships/hyperlink" Target="http://www.chrofi.com/" TargetMode="External"/><Relationship Id="rId68" Type="http://schemas.openxmlformats.org/officeDocument/2006/relationships/hyperlink" Target="http://www.dem.com.au/" TargetMode="External"/><Relationship Id="rId89" Type="http://schemas.openxmlformats.org/officeDocument/2006/relationships/hyperlink" Target="http://www.ghdwoodhead.com/" TargetMode="External"/><Relationship Id="rId112" Type="http://schemas.openxmlformats.org/officeDocument/2006/relationships/hyperlink" Target="http://www.l-s.com.au/" TargetMode="External"/><Relationship Id="rId133" Type="http://schemas.openxmlformats.org/officeDocument/2006/relationships/hyperlink" Target="http://www.nbrsarchitecture.com/" TargetMode="External"/><Relationship Id="rId154" Type="http://schemas.openxmlformats.org/officeDocument/2006/relationships/hyperlink" Target="http://www.phillipsmarler.com.au/" TargetMode="External"/><Relationship Id="rId175" Type="http://schemas.openxmlformats.org/officeDocument/2006/relationships/hyperlink" Target="http://www.scapedesign.com.au/" TargetMode="External"/><Relationship Id="rId340" Type="http://schemas.openxmlformats.org/officeDocument/2006/relationships/hyperlink" Target="mailto:jvg@kistudio.com.au" TargetMode="External"/><Relationship Id="rId361" Type="http://schemas.openxmlformats.org/officeDocument/2006/relationships/hyperlink" Target="mailto:business@michaeldaviesarchitecture.com" TargetMode="External"/><Relationship Id="rId196" Type="http://schemas.openxmlformats.org/officeDocument/2006/relationships/hyperlink" Target="http://www.studiogl.com.au/" TargetMode="External"/><Relationship Id="rId200" Type="http://schemas.openxmlformats.org/officeDocument/2006/relationships/hyperlink" Target="http://www.sturtnoble.com.au/" TargetMode="External"/><Relationship Id="rId382" Type="http://schemas.openxmlformats.org/officeDocument/2006/relationships/hyperlink" Target="mailto:lfachri@batessmart.com" TargetMode="External"/><Relationship Id="rId417" Type="http://schemas.openxmlformats.org/officeDocument/2006/relationships/hyperlink" Target="mailto:studio@smartdesignstudio.com" TargetMode="External"/><Relationship Id="rId438" Type="http://schemas.openxmlformats.org/officeDocument/2006/relationships/hyperlink" Target="mailto:southcoast@taylorbrammer.com.au" TargetMode="External"/><Relationship Id="rId459" Type="http://schemas.openxmlformats.org/officeDocument/2006/relationships/hyperlink" Target="mailto:russel.whitford@woodsbagot.com" TargetMode="External"/><Relationship Id="rId16" Type="http://schemas.openxmlformats.org/officeDocument/2006/relationships/hyperlink" Target="http://www.jeanrice.com.au/" TargetMode="External"/><Relationship Id="rId221" Type="http://schemas.openxmlformats.org/officeDocument/2006/relationships/hyperlink" Target="http://www.westonwilliamson.com/" TargetMode="External"/><Relationship Id="rId242" Type="http://schemas.openxmlformats.org/officeDocument/2006/relationships/hyperlink" Target="mailto:sam@marshall.net.au" TargetMode="External"/><Relationship Id="rId263" Type="http://schemas.openxmlformats.org/officeDocument/2006/relationships/hyperlink" Target="mailto:info@buckandsimple.com" TargetMode="External"/><Relationship Id="rId284" Type="http://schemas.openxmlformats.org/officeDocument/2006/relationships/hyperlink" Target="mailto:context@context.net.au" TargetMode="External"/><Relationship Id="rId319" Type="http://schemas.openxmlformats.org/officeDocument/2006/relationships/hyperlink" Target="mailto:ahmad@gresleyabas.com.au" TargetMode="External"/><Relationship Id="rId470" Type="http://schemas.openxmlformats.org/officeDocument/2006/relationships/hyperlink" Target="http://nettletontribe.com.au/" TargetMode="External"/><Relationship Id="rId491" Type="http://schemas.openxmlformats.org/officeDocument/2006/relationships/hyperlink" Target="http://placelaboratory.com/" TargetMode="External"/><Relationship Id="rId505" Type="http://schemas.openxmlformats.org/officeDocument/2006/relationships/hyperlink" Target="https://www.architect-george.com/" TargetMode="External"/><Relationship Id="rId526" Type="http://schemas.openxmlformats.org/officeDocument/2006/relationships/hyperlink" Target="mailto:mail@maaparchitects.com" TargetMode="External"/><Relationship Id="rId37" Type="http://schemas.openxmlformats.org/officeDocument/2006/relationships/hyperlink" Target="http://www.bnmh.com.au/" TargetMode="External"/><Relationship Id="rId58" Type="http://schemas.openxmlformats.org/officeDocument/2006/relationships/hyperlink" Target="http://www.context.net.au/" TargetMode="External"/><Relationship Id="rId79" Type="http://schemas.openxmlformats.org/officeDocument/2006/relationships/hyperlink" Target="https://ethosurban.com/" TargetMode="External"/><Relationship Id="rId102" Type="http://schemas.openxmlformats.org/officeDocument/2006/relationships/hyperlink" Target="http://jacksonteece.com/" TargetMode="External"/><Relationship Id="rId123" Type="http://schemas.openxmlformats.org/officeDocument/2006/relationships/hyperlink" Target="http://www.mcgregorcoxall.com/" TargetMode="External"/><Relationship Id="rId144" Type="http://schemas.openxmlformats.org/officeDocument/2006/relationships/hyperlink" Target="http://www.orderarchitects.com/" TargetMode="External"/><Relationship Id="rId330" Type="http://schemas.openxmlformats.org/officeDocument/2006/relationships/hyperlink" Target="mailto:kareng@idgarchitects.com.au" TargetMode="External"/><Relationship Id="rId90" Type="http://schemas.openxmlformats.org/officeDocument/2006/relationships/hyperlink" Target="http://www.gmu.com.au/" TargetMode="External"/><Relationship Id="rId165" Type="http://schemas.openxmlformats.org/officeDocument/2006/relationships/hyperlink" Target="https://retallackthompson.com/" TargetMode="External"/><Relationship Id="rId186" Type="http://schemas.openxmlformats.org/officeDocument/2006/relationships/hyperlink" Target="https://smithtzannes.com.au/" TargetMode="External"/><Relationship Id="rId351" Type="http://schemas.openxmlformats.org/officeDocument/2006/relationships/hyperlink" Target="mailto:alex@makoarchitecture.com.au" TargetMode="External"/><Relationship Id="rId372" Type="http://schemas.openxmlformats.org/officeDocument/2006/relationships/hyperlink" Target="mailto:hello@olastudio.com.au" TargetMode="External"/><Relationship Id="rId393" Type="http://schemas.openxmlformats.org/officeDocument/2006/relationships/hyperlink" Target="mailto:newcastle@webberarchitects.com" TargetMode="External"/><Relationship Id="rId407" Type="http://schemas.openxmlformats.org/officeDocument/2006/relationships/hyperlink" Target="mailto:office@scapedesign.com.au" TargetMode="External"/><Relationship Id="rId428" Type="http://schemas.openxmlformats.org/officeDocument/2006/relationships/hyperlink" Target="mailto:mbs@bijlarchitecture.com.au" TargetMode="External"/><Relationship Id="rId449" Type="http://schemas.openxmlformats.org/officeDocument/2006/relationships/hyperlink" Target="mailto:hannah@tribestudio.com.au" TargetMode="External"/><Relationship Id="rId211" Type="http://schemas.openxmlformats.org/officeDocument/2006/relationships/hyperlink" Target="http://www.tkda.com.au/" TargetMode="External"/><Relationship Id="rId232" Type="http://schemas.openxmlformats.org/officeDocument/2006/relationships/hyperlink" Target="mailto:adrian@ajh-a.com.au" TargetMode="External"/><Relationship Id="rId253" Type="http://schemas.openxmlformats.org/officeDocument/2006/relationships/hyperlink" Target="mailto:paul@atlasurban.com" TargetMode="External"/><Relationship Id="rId274" Type="http://schemas.openxmlformats.org/officeDocument/2006/relationships/hyperlink" Target="mailto:kimb@cityplan.com.au" TargetMode="External"/><Relationship Id="rId295" Type="http://schemas.openxmlformats.org/officeDocument/2006/relationships/hyperlink" Target="mailto:submissions@dentoncorkermarshall.com" TargetMode="External"/><Relationship Id="rId309" Type="http://schemas.openxmlformats.org/officeDocument/2006/relationships/hyperlink" Target="mailto:contact@studiojohnston.com.au" TargetMode="External"/><Relationship Id="rId460" Type="http://schemas.openxmlformats.org/officeDocument/2006/relationships/hyperlink" Target="mailto:admin@ckds.com.au" TargetMode="External"/><Relationship Id="rId481" Type="http://schemas.openxmlformats.org/officeDocument/2006/relationships/hyperlink" Target="http://www.supercontext.studio/" TargetMode="External"/><Relationship Id="rId516" Type="http://schemas.openxmlformats.org/officeDocument/2006/relationships/hyperlink" Target="mailto:tenders@nharch.net" TargetMode="External"/><Relationship Id="rId27" Type="http://schemas.openxmlformats.org/officeDocument/2006/relationships/hyperlink" Target="http://ar-ma.net/" TargetMode="External"/><Relationship Id="rId48" Type="http://schemas.openxmlformats.org/officeDocument/2006/relationships/hyperlink" Target="http://www.citypeople.com.au/" TargetMode="External"/><Relationship Id="rId69" Type="http://schemas.openxmlformats.org/officeDocument/2006/relationships/hyperlink" Target="http://www.designinc.com.au/" TargetMode="External"/><Relationship Id="rId113" Type="http://schemas.openxmlformats.org/officeDocument/2006/relationships/hyperlink" Target="http://www.lahznimmo.com/" TargetMode="External"/><Relationship Id="rId134" Type="http://schemas.openxmlformats.org/officeDocument/2006/relationships/hyperlink" Target="http://www.neesonmurcutt.com/" TargetMode="External"/><Relationship Id="rId320" Type="http://schemas.openxmlformats.org/officeDocument/2006/relationships/hyperlink" Target="mailto:cassie.newman@grimshaw.global" TargetMode="External"/><Relationship Id="rId80" Type="http://schemas.openxmlformats.org/officeDocument/2006/relationships/hyperlink" Target="http://fkaustralia.com/" TargetMode="External"/><Relationship Id="rId155" Type="http://schemas.openxmlformats.org/officeDocument/2006/relationships/hyperlink" Target="http://www.pidcock.com.au/" TargetMode="External"/><Relationship Id="rId176" Type="http://schemas.openxmlformats.org/officeDocument/2006/relationships/hyperlink" Target="http://www.scottcarver.com.au/" TargetMode="External"/><Relationship Id="rId197" Type="http://schemas.openxmlformats.org/officeDocument/2006/relationships/hyperlink" Target="http://www.studiohollenstein.com/" TargetMode="External"/><Relationship Id="rId341" Type="http://schemas.openxmlformats.org/officeDocument/2006/relationships/hyperlink" Target="mailto:csaba@kollanyiarchitects.com.au" TargetMode="External"/><Relationship Id="rId362" Type="http://schemas.openxmlformats.org/officeDocument/2006/relationships/hyperlink" Target="mailto:projects@moirla.com.au" TargetMode="External"/><Relationship Id="rId383" Type="http://schemas.openxmlformats.org/officeDocument/2006/relationships/hyperlink" Target="mailto:vanessa.c@paadesign.com.au" TargetMode="External"/><Relationship Id="rId418" Type="http://schemas.openxmlformats.org/officeDocument/2006/relationships/hyperlink" Target="mailto:email@smithtzannes.com.au" TargetMode="External"/><Relationship Id="rId439" Type="http://schemas.openxmlformats.org/officeDocument/2006/relationships/hyperlink" Target="mailto:zack@team2.com.au" TargetMode="External"/><Relationship Id="rId201" Type="http://schemas.openxmlformats.org/officeDocument/2006/relationships/hyperlink" Target="http://www.supermanoeuvre.com/" TargetMode="External"/><Relationship Id="rId222" Type="http://schemas.openxmlformats.org/officeDocument/2006/relationships/hyperlink" Target="http://www.wmkarchitecture.com/" TargetMode="External"/><Relationship Id="rId243" Type="http://schemas.openxmlformats.org/officeDocument/2006/relationships/hyperlink" Target="mailto:jon@aja.com.au" TargetMode="External"/><Relationship Id="rId264" Type="http://schemas.openxmlformats.org/officeDocument/2006/relationships/hyperlink" Target="mailto:businessdevelopmentteam@bvn.com.au" TargetMode="External"/><Relationship Id="rId285" Type="http://schemas.openxmlformats.org/officeDocument/2006/relationships/hyperlink" Target="mailto:monica.earl@contrerasearl.com" TargetMode="External"/><Relationship Id="rId450" Type="http://schemas.openxmlformats.org/officeDocument/2006/relationships/hyperlink" Target="mailto:mike.horne@turfdesign.com" TargetMode="External"/><Relationship Id="rId471" Type="http://schemas.openxmlformats.org/officeDocument/2006/relationships/hyperlink" Target="mailto:accounts@nettletontribe.com.au" TargetMode="External"/><Relationship Id="rId506" Type="http://schemas.openxmlformats.org/officeDocument/2006/relationships/hyperlink" Target="mailto:office@architect-george.com" TargetMode="External"/><Relationship Id="rId17" Type="http://schemas.openxmlformats.org/officeDocument/2006/relationships/hyperlink" Target="http://www.candalepas.com.au/" TargetMode="External"/><Relationship Id="rId38" Type="http://schemas.openxmlformats.org/officeDocument/2006/relationships/hyperlink" Target="http://www.brewsterhjorth.com.au/" TargetMode="External"/><Relationship Id="rId59" Type="http://schemas.openxmlformats.org/officeDocument/2006/relationships/hyperlink" Target="http://www.contrerasearl.com/" TargetMode="External"/><Relationship Id="rId103" Type="http://schemas.openxmlformats.org/officeDocument/2006/relationships/hyperlink" Target="http://www.jmddesign.com.au/" TargetMode="External"/><Relationship Id="rId124" Type="http://schemas.openxmlformats.org/officeDocument/2006/relationships/hyperlink" Target="http://www.mwarchitects.com.au/" TargetMode="External"/><Relationship Id="rId310" Type="http://schemas.openxmlformats.org/officeDocument/2006/relationships/hyperlink" Target="mailto:tenders@fjmtstudio.com" TargetMode="External"/><Relationship Id="rId492" Type="http://schemas.openxmlformats.org/officeDocument/2006/relationships/hyperlink" Target="mailto:greg@placelaboratory.com" TargetMode="External"/><Relationship Id="rId527" Type="http://schemas.openxmlformats.org/officeDocument/2006/relationships/hyperlink" Target="http://www.rpinfrastructure.com.au/" TargetMode="External"/><Relationship Id="rId70" Type="http://schemas.openxmlformats.org/officeDocument/2006/relationships/hyperlink" Target="http://www.djrd.com.au/" TargetMode="External"/><Relationship Id="rId91" Type="http://schemas.openxmlformats.org/officeDocument/2006/relationships/hyperlink" Target="http://www.gresleyabas.com.au/" TargetMode="External"/><Relationship Id="rId145" Type="http://schemas.openxmlformats.org/officeDocument/2006/relationships/hyperlink" Target="http://www.otherarchitects.com/" TargetMode="External"/><Relationship Id="rId166" Type="http://schemas.openxmlformats.org/officeDocument/2006/relationships/hyperlink" Target="http://www.marks.net.au/" TargetMode="External"/><Relationship Id="rId187" Type="http://schemas.openxmlformats.org/officeDocument/2006/relationships/hyperlink" Target="http://www.spacelab.net.au/" TargetMode="External"/><Relationship Id="rId331" Type="http://schemas.openxmlformats.org/officeDocument/2006/relationships/hyperlink" Target="mailto:cargyrou@jacksonteece.com" TargetMode="External"/><Relationship Id="rId352" Type="http://schemas.openxmlformats.org/officeDocument/2006/relationships/hyperlink" Target="mailto:hugo@mapa.net.au" TargetMode="External"/><Relationship Id="rId373" Type="http://schemas.openxmlformats.org/officeDocument/2006/relationships/hyperlink" Target="mailto:russell@olssonassociates.com.au" TargetMode="External"/><Relationship Id="rId394" Type="http://schemas.openxmlformats.org/officeDocument/2006/relationships/hyperlink" Target="mailto:rjcampbell@reidcampbell.com" TargetMode="External"/><Relationship Id="rId408" Type="http://schemas.openxmlformats.org/officeDocument/2006/relationships/hyperlink" Target="mailto:tenders@scottcarver.com.au" TargetMode="External"/><Relationship Id="rId429" Type="http://schemas.openxmlformats.org/officeDocument/2006/relationships/hyperlink" Target="mailto:dgriffiths@studiogl.com.au" TargetMode="External"/><Relationship Id="rId1" Type="http://schemas.openxmlformats.org/officeDocument/2006/relationships/hyperlink" Target="http://cityplan.com.au/" TargetMode="External"/><Relationship Id="rId212" Type="http://schemas.openxmlformats.org/officeDocument/2006/relationships/hyperlink" Target="http://www.tonyowen.com.au/" TargetMode="External"/><Relationship Id="rId233" Type="http://schemas.openxmlformats.org/officeDocument/2006/relationships/hyperlink" Target="mailto:mj@aleksandarprojects.com.au" TargetMode="External"/><Relationship Id="rId254" Type="http://schemas.openxmlformats.org/officeDocument/2006/relationships/hyperlink" Target="mailto:office@auroradesign.net.au" TargetMode="External"/><Relationship Id="rId440" Type="http://schemas.openxmlformats.org/officeDocument/2006/relationships/hyperlink" Target="mailto:Reinmuth@terroir.com.au" TargetMode="External"/><Relationship Id="rId28" Type="http://schemas.openxmlformats.org/officeDocument/2006/relationships/hyperlink" Target="http://www.artscapeconsulting.com.au/" TargetMode="External"/><Relationship Id="rId49" Type="http://schemas.openxmlformats.org/officeDocument/2006/relationships/hyperlink" Target="http://www.civicassociates.com.au/" TargetMode="External"/><Relationship Id="rId114" Type="http://schemas.openxmlformats.org/officeDocument/2006/relationships/hyperlink" Target="http://www.leftbankco.com/" TargetMode="External"/><Relationship Id="rId275" Type="http://schemas.openxmlformats.org/officeDocument/2006/relationships/hyperlink" Target="mailto:paulo@civicassociates.com.au" TargetMode="External"/><Relationship Id="rId296" Type="http://schemas.openxmlformats.org/officeDocument/2006/relationships/hyperlink" Target="mailto:submission@sydney.designinc.com.au" TargetMode="External"/><Relationship Id="rId300" Type="http://schemas.openxmlformats.org/officeDocument/2006/relationships/hyperlink" Target="mailto:mail@durbachblock.com" TargetMode="External"/><Relationship Id="rId461" Type="http://schemas.openxmlformats.org/officeDocument/2006/relationships/hyperlink" Target="mailto:david@youssofzayhart.com.au" TargetMode="External"/><Relationship Id="rId482" Type="http://schemas.openxmlformats.org/officeDocument/2006/relationships/hyperlink" Target="mailto:andrew@supercontext.studio" TargetMode="External"/><Relationship Id="rId517" Type="http://schemas.openxmlformats.org/officeDocument/2006/relationships/hyperlink" Target="http://www.nguluway.designinc.com.au/" TargetMode="External"/><Relationship Id="rId60" Type="http://schemas.openxmlformats.org/officeDocument/2006/relationships/hyperlink" Target="http://www.corkeryconsulting.com/" TargetMode="External"/><Relationship Id="rId81" Type="http://schemas.openxmlformats.org/officeDocument/2006/relationships/hyperlink" Target="http://www.fitzpatrickpartners.com/" TargetMode="External"/><Relationship Id="rId135" Type="http://schemas.openxmlformats.org/officeDocument/2006/relationships/hyperlink" Target="http://www.newscapedesign.com.au/" TargetMode="External"/><Relationship Id="rId156" Type="http://schemas.openxmlformats.org/officeDocument/2006/relationships/hyperlink" Target="http://www.placepartners.com.au/" TargetMode="External"/><Relationship Id="rId177" Type="http://schemas.openxmlformats.org/officeDocument/2006/relationships/hyperlink" Target="http://www.sgsep.com.au/" TargetMode="External"/><Relationship Id="rId198" Type="http://schemas.openxmlformats.org/officeDocument/2006/relationships/hyperlink" Target="http://www.studiotwoarchitecture.com.au/" TargetMode="External"/><Relationship Id="rId321" Type="http://schemas.openxmlformats.org/officeDocument/2006/relationships/hyperlink" Target="mailto:tenders@groupgsa.com" TargetMode="External"/><Relationship Id="rId342" Type="http://schemas.openxmlformats.org/officeDocument/2006/relationships/hyperlink" Target="mailto:chris@kreisgrennan.com.au" TargetMode="External"/><Relationship Id="rId363" Type="http://schemas.openxmlformats.org/officeDocument/2006/relationships/hyperlink" Target="mailto:jm@myersellyett.com.au" TargetMode="External"/><Relationship Id="rId384" Type="http://schemas.openxmlformats.org/officeDocument/2006/relationships/hyperlink" Target="mailto:julie@phillipsmarler.com.au" TargetMode="External"/><Relationship Id="rId419" Type="http://schemas.openxmlformats.org/officeDocument/2006/relationships/hyperlink" Target="mailto:cher@spacelab.net.au" TargetMode="External"/><Relationship Id="rId202" Type="http://schemas.openxmlformats.org/officeDocument/2006/relationships/hyperlink" Target="http://www.e2designlab.com.au/" TargetMode="External"/><Relationship Id="rId223" Type="http://schemas.openxmlformats.org/officeDocument/2006/relationships/hyperlink" Target="http://www.woodsbagot.com/" TargetMode="External"/><Relationship Id="rId244" Type="http://schemas.openxmlformats.org/officeDocument/2006/relationships/hyperlink" Target="mailto:ruth@architecturalprojects.net.au" TargetMode="External"/><Relationship Id="rId430" Type="http://schemas.openxmlformats.org/officeDocument/2006/relationships/hyperlink" Target="mailto:matthias@studiohollenstein.com" TargetMode="External"/><Relationship Id="rId18" Type="http://schemas.openxmlformats.org/officeDocument/2006/relationships/hyperlink" Target="http://www.antelope.net.au/" TargetMode="External"/><Relationship Id="rId39" Type="http://schemas.openxmlformats.org/officeDocument/2006/relationships/hyperlink" Target="http://www.buckandsimple.com/" TargetMode="External"/><Relationship Id="rId265" Type="http://schemas.openxmlformats.org/officeDocument/2006/relationships/hyperlink" Target="mailto:bd@c4architects.com.au" TargetMode="External"/><Relationship Id="rId286" Type="http://schemas.openxmlformats.org/officeDocument/2006/relationships/hyperlink" Target="mailto:terry@corkeryconsulting.com" TargetMode="External"/><Relationship Id="rId451" Type="http://schemas.openxmlformats.org/officeDocument/2006/relationships/hyperlink" Target="mailto:mark@tyrrellstudio.com" TargetMode="External"/><Relationship Id="rId472" Type="http://schemas.openxmlformats.org/officeDocument/2006/relationships/hyperlink" Target="http://williamsross.com/" TargetMode="External"/><Relationship Id="rId493" Type="http://schemas.openxmlformats.org/officeDocument/2006/relationships/hyperlink" Target="http://www.kjassoc.com.au/" TargetMode="External"/><Relationship Id="rId507" Type="http://schemas.openxmlformats.org/officeDocument/2006/relationships/hyperlink" Target="mailto:paul@pbdarchitects.com.au" TargetMode="External"/><Relationship Id="rId528" Type="http://schemas.openxmlformats.org/officeDocument/2006/relationships/hyperlink" Target="https://www.gsbnstudio.com.au/" TargetMode="External"/><Relationship Id="rId50" Type="http://schemas.openxmlformats.org/officeDocument/2006/relationships/hyperlink" Target="http://www.clouston.com.au/" TargetMode="External"/><Relationship Id="rId104" Type="http://schemas.openxmlformats.org/officeDocument/2006/relationships/hyperlink" Target="http://www.jila.net.au/" TargetMode="External"/><Relationship Id="rId125" Type="http://schemas.openxmlformats.org/officeDocument/2006/relationships/hyperlink" Target="http://www.mcintoshphelps.com.au/" TargetMode="External"/><Relationship Id="rId146" Type="http://schemas.openxmlformats.org/officeDocument/2006/relationships/hyperlink" Target="http://www.panovscott.com.au/" TargetMode="External"/><Relationship Id="rId167" Type="http://schemas.openxmlformats.org/officeDocument/2006/relationships/hyperlink" Target="http://www.rpsgroup.com/Australia-Asia-Pacific.aspx/" TargetMode="External"/><Relationship Id="rId188" Type="http://schemas.openxmlformats.org/officeDocument/2006/relationships/hyperlink" Target="http://www.sphere.com.au/" TargetMode="External"/><Relationship Id="rId311" Type="http://schemas.openxmlformats.org/officeDocument/2006/relationships/hyperlink" Target="mailto:info@thefulcrum.agency" TargetMode="External"/><Relationship Id="rId332" Type="http://schemas.openxmlformats.org/officeDocument/2006/relationships/hyperlink" Target="mailto:nando.nicotra@jacobs.com" TargetMode="External"/><Relationship Id="rId353" Type="http://schemas.openxmlformats.org/officeDocument/2006/relationships/hyperlink" Target="mailto:marra@marrayeh.com" TargetMode="External"/><Relationship Id="rId374" Type="http://schemas.openxmlformats.org/officeDocument/2006/relationships/hyperlink" Target="mailto:pjones@oma.com" TargetMode="External"/><Relationship Id="rId395" Type="http://schemas.openxmlformats.org/officeDocument/2006/relationships/hyperlink" Target="mailto:mitchell@retallackthompson.com" TargetMode="External"/><Relationship Id="rId409" Type="http://schemas.openxmlformats.org/officeDocument/2006/relationships/hyperlink" Target="mailto:sgsnsw@sgsep.com.au" TargetMode="External"/><Relationship Id="rId71" Type="http://schemas.openxmlformats.org/officeDocument/2006/relationships/hyperlink" Target="http://www.dko.com.au/" TargetMode="External"/><Relationship Id="rId92" Type="http://schemas.openxmlformats.org/officeDocument/2006/relationships/hyperlink" Target="http://www.groupgsa.com/" TargetMode="External"/><Relationship Id="rId213" Type="http://schemas.openxmlformats.org/officeDocument/2006/relationships/hyperlink" Target="http://www.tract.net.au/" TargetMode="External"/><Relationship Id="rId234" Type="http://schemas.openxmlformats.org/officeDocument/2006/relationships/hyperlink" Target="mailto:michelle@allaboutplanning.com.au" TargetMode="External"/><Relationship Id="rId420" Type="http://schemas.openxmlformats.org/officeDocument/2006/relationships/hyperlink" Target="mailto:pnott@sphere.com.au" TargetMode="External"/><Relationship Id="rId2" Type="http://schemas.openxmlformats.org/officeDocument/2006/relationships/hyperlink" Target="http://www.aaltoconsulting.com.au/" TargetMode="External"/><Relationship Id="rId29" Type="http://schemas.openxmlformats.org/officeDocument/2006/relationships/hyperlink" Target="http://www.aspectarch.com/" TargetMode="External"/><Relationship Id="rId255" Type="http://schemas.openxmlformats.org/officeDocument/2006/relationships/hyperlink" Target="mailto:jb@bka.com.au" TargetMode="External"/><Relationship Id="rId276" Type="http://schemas.openxmlformats.org/officeDocument/2006/relationships/hyperlink" Target="mailto:sydney@clouston.com.au" TargetMode="External"/><Relationship Id="rId297" Type="http://schemas.openxmlformats.org/officeDocument/2006/relationships/hyperlink" Target="mailto:dbeekwilder@djrd.com.au" TargetMode="External"/><Relationship Id="rId441" Type="http://schemas.openxmlformats.org/officeDocument/2006/relationships/hyperlink" Target="mailto:gunther.degraeve@destravis.com" TargetMode="External"/><Relationship Id="rId462" Type="http://schemas.openxmlformats.org/officeDocument/2006/relationships/hyperlink" Target="http://www.co-ap.com/" TargetMode="External"/><Relationship Id="rId483" Type="http://schemas.openxmlformats.org/officeDocument/2006/relationships/hyperlink" Target="http://www.wilkinsoneyre.com/" TargetMode="External"/><Relationship Id="rId518" Type="http://schemas.openxmlformats.org/officeDocument/2006/relationships/hyperlink" Target="mailto:admin@nguluway.designinc.com.au" TargetMode="External"/><Relationship Id="rId40" Type="http://schemas.openxmlformats.org/officeDocument/2006/relationships/hyperlink" Target="http://www.bvn.com.au/" TargetMode="External"/><Relationship Id="rId115" Type="http://schemas.openxmlformats.org/officeDocument/2006/relationships/hyperlink" Target="http://www.lewiszwart.com.au/" TargetMode="External"/><Relationship Id="rId136" Type="http://schemas.openxmlformats.org/officeDocument/2006/relationships/hyperlink" Target="http://www.turnerstudio.com.au/" TargetMode="External"/><Relationship Id="rId157" Type="http://schemas.openxmlformats.org/officeDocument/2006/relationships/hyperlink" Target="http://www.placedesigngroup.com/" TargetMode="External"/><Relationship Id="rId178" Type="http://schemas.openxmlformats.org/officeDocument/2006/relationships/hyperlink" Target="http://www.shac.com.au/" TargetMode="External"/><Relationship Id="rId301" Type="http://schemas.openxmlformats.org/officeDocument/2006/relationships/hyperlink" Target="mailto:cameron.m@dwp.com" TargetMode="External"/><Relationship Id="rId322" Type="http://schemas.openxmlformats.org/officeDocument/2006/relationships/hyperlink" Target="mailto:Nsw@hamessharley.com.au" TargetMode="External"/><Relationship Id="rId343" Type="http://schemas.openxmlformats.org/officeDocument/2006/relationships/hyperlink" Target="mailto:david@l-s.com.au" TargetMode="External"/><Relationship Id="rId364" Type="http://schemas.openxmlformats.org/officeDocument/2006/relationships/hyperlink" Target="mailto:james.ward@nbrsarchitecture.com" TargetMode="External"/><Relationship Id="rId61" Type="http://schemas.openxmlformats.org/officeDocument/2006/relationships/hyperlink" Target="http://www.cotteeparker.com.au/" TargetMode="External"/><Relationship Id="rId82" Type="http://schemas.openxmlformats.org/officeDocument/2006/relationships/hyperlink" Target="https://www.studiojohnston.com.au/" TargetMode="External"/><Relationship Id="rId199" Type="http://schemas.openxmlformats.org/officeDocument/2006/relationships/hyperlink" Target="http://www.studioplusthree.com/" TargetMode="External"/><Relationship Id="rId203" Type="http://schemas.openxmlformats.org/officeDocument/2006/relationships/hyperlink" Target="http://symstudio.com/" TargetMode="External"/><Relationship Id="rId385" Type="http://schemas.openxmlformats.org/officeDocument/2006/relationships/hyperlink" Target="mailto:caroline@pidcock.com.au" TargetMode="External"/><Relationship Id="rId19" Type="http://schemas.openxmlformats.org/officeDocument/2006/relationships/hyperlink" Target="http://www.archeroffice.com/" TargetMode="External"/><Relationship Id="rId224" Type="http://schemas.openxmlformats.org/officeDocument/2006/relationships/hyperlink" Target="http://www.ckds.com.au/" TargetMode="External"/><Relationship Id="rId245" Type="http://schemas.openxmlformats.org/officeDocument/2006/relationships/hyperlink" Target="mailto:suzie.barkovic@architectus.com.au" TargetMode="External"/><Relationship Id="rId266" Type="http://schemas.openxmlformats.org/officeDocument/2006/relationships/hyperlink" Target="mailto:scott.lawlor@capitalinsight.com.au" TargetMode="External"/><Relationship Id="rId287" Type="http://schemas.openxmlformats.org/officeDocument/2006/relationships/hyperlink" Target="mailto:nswtenders@cotteeparker.com.au" TargetMode="External"/><Relationship Id="rId410" Type="http://schemas.openxmlformats.org/officeDocument/2006/relationships/hyperlink" Target="mailto:tenders@shac.com.au" TargetMode="External"/><Relationship Id="rId431" Type="http://schemas.openxmlformats.org/officeDocument/2006/relationships/hyperlink" Target="mailto:nick@studiotwoarchitecture.com.au" TargetMode="External"/><Relationship Id="rId452" Type="http://schemas.openxmlformats.org/officeDocument/2006/relationships/hyperlink" Target="mailto:consulting@elton.com.au" TargetMode="External"/><Relationship Id="rId473" Type="http://schemas.openxmlformats.org/officeDocument/2006/relationships/hyperlink" Target="mailto:lreed@williamsross.com" TargetMode="External"/><Relationship Id="rId494" Type="http://schemas.openxmlformats.org/officeDocument/2006/relationships/hyperlink" Target="https://eximiadesign.com.au/" TargetMode="External"/><Relationship Id="rId508" Type="http://schemas.openxmlformats.org/officeDocument/2006/relationships/hyperlink" Target="mailto:matthew@pullinger.com.au" TargetMode="External"/><Relationship Id="rId529" Type="http://schemas.openxmlformats.org/officeDocument/2006/relationships/hyperlink" Target="mailto:alessandro@gsbnstudio.com.au" TargetMode="External"/><Relationship Id="rId30" Type="http://schemas.openxmlformats.org/officeDocument/2006/relationships/hyperlink" Target="http://www.atlasurban.com/" TargetMode="External"/><Relationship Id="rId105" Type="http://schemas.openxmlformats.org/officeDocument/2006/relationships/hyperlink" Target="https://www.mcaslan.co.uk/" TargetMode="External"/><Relationship Id="rId126" Type="http://schemas.openxmlformats.org/officeDocument/2006/relationships/hyperlink" Target="http://www.mckarcitects.com/" TargetMode="External"/><Relationship Id="rId147" Type="http://schemas.openxmlformats.org/officeDocument/2006/relationships/hyperlink" Target="http://www.partnershill.com/" TargetMode="External"/><Relationship Id="rId168" Type="http://schemas.openxmlformats.org/officeDocument/2006/relationships/hyperlink" Target="http://rpsgroup.com.au/" TargetMode="External"/><Relationship Id="rId312" Type="http://schemas.openxmlformats.org/officeDocument/2006/relationships/hyperlink" Target="mailto:business@fultontrotter.com.au" TargetMode="External"/><Relationship Id="rId333" Type="http://schemas.openxmlformats.org/officeDocument/2006/relationships/hyperlink" Target="mailto:info@jmddesign.com.au" TargetMode="External"/><Relationship Id="rId354" Type="http://schemas.openxmlformats.org/officeDocument/2006/relationships/hyperlink" Target="mailto:nswtenders@mcgregorcoxall.com" TargetMode="External"/><Relationship Id="rId51" Type="http://schemas.openxmlformats.org/officeDocument/2006/relationships/hyperlink" Target="http://cmplus.com.au/" TargetMode="External"/><Relationship Id="rId72" Type="http://schemas.openxmlformats.org/officeDocument/2006/relationships/hyperlink" Target="http://www.dunnhillam.com.au/" TargetMode="External"/><Relationship Id="rId93" Type="http://schemas.openxmlformats.org/officeDocument/2006/relationships/hyperlink" Target="http://www.hamessharley.com.au/" TargetMode="External"/><Relationship Id="rId189" Type="http://schemas.openxmlformats.org/officeDocument/2006/relationships/hyperlink" Target="http://www.sproutstudio.com.au/" TargetMode="External"/><Relationship Id="rId375" Type="http://schemas.openxmlformats.org/officeDocument/2006/relationships/hyperlink" Target="mailto:kim@orderarchitects.com" TargetMode="External"/><Relationship Id="rId396" Type="http://schemas.openxmlformats.org/officeDocument/2006/relationships/hyperlink" Target="mailto:martine.white@robertsday.com.au" TargetMode="External"/><Relationship Id="rId3" Type="http://schemas.openxmlformats.org/officeDocument/2006/relationships/hyperlink" Target="http://www.elton.com.au/" TargetMode="External"/><Relationship Id="rId214" Type="http://schemas.openxmlformats.org/officeDocument/2006/relationships/hyperlink" Target="http://www.tribestudio.com.au/" TargetMode="External"/><Relationship Id="rId235" Type="http://schemas.openxmlformats.org/officeDocument/2006/relationships/hyperlink" Target="mailto:tenders@architectsajc.com" TargetMode="External"/><Relationship Id="rId256" Type="http://schemas.openxmlformats.org/officeDocument/2006/relationships/hyperlink" Target="mailto:matthew@bennettandtrimble.com" TargetMode="External"/><Relationship Id="rId277" Type="http://schemas.openxmlformats.org/officeDocument/2006/relationships/hyperlink" Target="mailto:marketing@cmplus.com.au" TargetMode="External"/><Relationship Id="rId298" Type="http://schemas.openxmlformats.org/officeDocument/2006/relationships/hyperlink" Target="mailto:david.randerson@dko.com.au" TargetMode="External"/><Relationship Id="rId400" Type="http://schemas.openxmlformats.org/officeDocument/2006/relationships/hyperlink" Target="mailto:submissions@rpinfrastructure.com.au" TargetMode="External"/><Relationship Id="rId421" Type="http://schemas.openxmlformats.org/officeDocument/2006/relationships/hyperlink" Target="mailto:tenders@sproutstudio.com.au" TargetMode="External"/><Relationship Id="rId442" Type="http://schemas.openxmlformats.org/officeDocument/2006/relationships/hyperlink" Target="mailto:info@tbld.com.au" TargetMode="External"/><Relationship Id="rId463" Type="http://schemas.openxmlformats.org/officeDocument/2006/relationships/hyperlink" Target="mailto:will.fung@co-ap.com" TargetMode="External"/><Relationship Id="rId484" Type="http://schemas.openxmlformats.org/officeDocument/2006/relationships/hyperlink" Target="mailto:newbusiness@wilkinsoneyre.com" TargetMode="External"/><Relationship Id="rId519" Type="http://schemas.openxmlformats.org/officeDocument/2006/relationships/hyperlink" Target="https://www.jensenplus.com.au/" TargetMode="External"/><Relationship Id="rId116" Type="http://schemas.openxmlformats.org/officeDocument/2006/relationships/hyperlink" Target="http://www.linkplace.com.au/" TargetMode="External"/><Relationship Id="rId137" Type="http://schemas.openxmlformats.org/officeDocument/2006/relationships/hyperlink" Target="http://www.nobbsradford.com.au/" TargetMode="External"/><Relationship Id="rId158" Type="http://schemas.openxmlformats.org/officeDocument/2006/relationships/hyperlink" Target="http://www.placelogic.com.au/" TargetMode="External"/><Relationship Id="rId302" Type="http://schemas.openxmlformats.org/officeDocument/2006/relationships/hyperlink" Target="mailto:joe.rowling@e8urban.com" TargetMode="External"/><Relationship Id="rId323" Type="http://schemas.openxmlformats.org/officeDocument/2006/relationships/hyperlink" Target="mailto:sydneytenders@hassellstudio.com" TargetMode="External"/><Relationship Id="rId344" Type="http://schemas.openxmlformats.org/officeDocument/2006/relationships/hyperlink" Target="mailto:a.nimmo@lahznimmo.com" TargetMode="External"/><Relationship Id="rId530" Type="http://schemas.openxmlformats.org/officeDocument/2006/relationships/printerSettings" Target="../printerSettings/printerSettings1.bin"/><Relationship Id="rId20" Type="http://schemas.openxmlformats.org/officeDocument/2006/relationships/hyperlink" Target="http://www.marshall.net.au/" TargetMode="External"/><Relationship Id="rId41" Type="http://schemas.openxmlformats.org/officeDocument/2006/relationships/hyperlink" Target="http://www.c4architects.com.au/" TargetMode="External"/><Relationship Id="rId62" Type="http://schemas.openxmlformats.org/officeDocument/2006/relationships/hyperlink" Target="http://www.coxarchitecture.com.au/" TargetMode="External"/><Relationship Id="rId83" Type="http://schemas.openxmlformats.org/officeDocument/2006/relationships/hyperlink" Target="http://fjmtstudio.com/" TargetMode="External"/><Relationship Id="rId179" Type="http://schemas.openxmlformats.org/officeDocument/2006/relationships/hyperlink" Target="http://www.shakeuparchitecture.com/" TargetMode="External"/><Relationship Id="rId365" Type="http://schemas.openxmlformats.org/officeDocument/2006/relationships/hyperlink" Target="mailto:mail@neesonmurcutt.com" TargetMode="External"/><Relationship Id="rId386" Type="http://schemas.openxmlformats.org/officeDocument/2006/relationships/hyperlink" Target="mailto:kylie@placepartners.com.au" TargetMode="External"/><Relationship Id="rId190" Type="http://schemas.openxmlformats.org/officeDocument/2006/relationships/hyperlink" Target="http://stanicharding.com.au/" TargetMode="External"/><Relationship Id="rId204" Type="http://schemas.openxmlformats.org/officeDocument/2006/relationships/hyperlink" Target="http://www.taylorbrammer.com.au/" TargetMode="External"/><Relationship Id="rId225" Type="http://schemas.openxmlformats.org/officeDocument/2006/relationships/hyperlink" Target="http://www.youssofzayhart.com.au/" TargetMode="External"/><Relationship Id="rId246" Type="http://schemas.openxmlformats.org/officeDocument/2006/relationships/hyperlink" Target="mailto:info@archrival.org" TargetMode="External"/><Relationship Id="rId267" Type="http://schemas.openxmlformats.org/officeDocument/2006/relationships/hyperlink" Target="mailto:ben@carterwilliamson.com" TargetMode="External"/><Relationship Id="rId288" Type="http://schemas.openxmlformats.org/officeDocument/2006/relationships/hyperlink" Target="mailto:katie.mckenna@cox.com.au" TargetMode="External"/><Relationship Id="rId411" Type="http://schemas.openxmlformats.org/officeDocument/2006/relationships/hyperlink" Target="mailto:susana@shakeuparchitecture.com" TargetMode="External"/><Relationship Id="rId432" Type="http://schemas.openxmlformats.org/officeDocument/2006/relationships/hyperlink" Target="mailto:simon@studioplusthree.com" TargetMode="External"/><Relationship Id="rId453" Type="http://schemas.openxmlformats.org/officeDocument/2006/relationships/hyperlink" Target="mailto:waikin@urbaninitiatives.com.au" TargetMode="External"/><Relationship Id="rId474" Type="http://schemas.openxmlformats.org/officeDocument/2006/relationships/hyperlink" Target="mailto:mdeduonni@baukultur.com.au" TargetMode="External"/><Relationship Id="rId509" Type="http://schemas.openxmlformats.org/officeDocument/2006/relationships/hyperlink" Target="https://atomadesign.com.au/" TargetMode="External"/><Relationship Id="rId106" Type="http://schemas.openxmlformats.org/officeDocument/2006/relationships/hyperlink" Target="http://wardle.studio/" TargetMode="External"/><Relationship Id="rId127" Type="http://schemas.openxmlformats.org/officeDocument/2006/relationships/hyperlink" Target="http://www.meloccomoore.com.au/" TargetMode="External"/><Relationship Id="rId313" Type="http://schemas.openxmlformats.org/officeDocument/2006/relationships/hyperlink" Target="mailto:contact@furtadosullivan.com" TargetMode="External"/><Relationship Id="rId495" Type="http://schemas.openxmlformats.org/officeDocument/2006/relationships/hyperlink" Target="mailto:scott.ibbotson@eximiadesign.com.au" TargetMode="External"/><Relationship Id="rId10" Type="http://schemas.openxmlformats.org/officeDocument/2006/relationships/hyperlink" Target="http://ajh-a.com.au/" TargetMode="External"/><Relationship Id="rId31" Type="http://schemas.openxmlformats.org/officeDocument/2006/relationships/hyperlink" Target="http://www.auroradesign.net.au/" TargetMode="External"/><Relationship Id="rId52" Type="http://schemas.openxmlformats.org/officeDocument/2006/relationships/hyperlink" Target="http://www.collard.com.au/" TargetMode="External"/><Relationship Id="rId73" Type="http://schemas.openxmlformats.org/officeDocument/2006/relationships/hyperlink" Target="http://www.durbachblockjaggers.com/" TargetMode="External"/><Relationship Id="rId94" Type="http://schemas.openxmlformats.org/officeDocument/2006/relationships/hyperlink" Target="http://hassellstudio.com/" TargetMode="External"/><Relationship Id="rId148" Type="http://schemas.openxmlformats.org/officeDocument/2006/relationships/hyperlink" Target="http://www.pdsdesign.com.au/" TargetMode="External"/><Relationship Id="rId169" Type="http://schemas.openxmlformats.org/officeDocument/2006/relationships/hyperlink" Target="http://www.samcrawfordarchitects.com.au/" TargetMode="External"/><Relationship Id="rId334" Type="http://schemas.openxmlformats.org/officeDocument/2006/relationships/hyperlink" Target="mailto:info@jila.net.au" TargetMode="External"/><Relationship Id="rId355" Type="http://schemas.openxmlformats.org/officeDocument/2006/relationships/hyperlink" Target="mailto:studio@mwarchitects.com.au" TargetMode="External"/><Relationship Id="rId376" Type="http://schemas.openxmlformats.org/officeDocument/2006/relationships/hyperlink" Target="mailto:david@otherarchitects.com" TargetMode="External"/><Relationship Id="rId397" Type="http://schemas.openxmlformats.org/officeDocument/2006/relationships/hyperlink" Target="mailto:nicky@marks.net.au" TargetMode="External"/><Relationship Id="rId520" Type="http://schemas.openxmlformats.org/officeDocument/2006/relationships/hyperlink" Target="mailto:admin1@jensenplus.com.au" TargetMode="External"/><Relationship Id="rId4" Type="http://schemas.openxmlformats.org/officeDocument/2006/relationships/hyperlink" Target="http://www.robertsday.com.au/" TargetMode="External"/><Relationship Id="rId180" Type="http://schemas.openxmlformats.org/officeDocument/2006/relationships/hyperlink" Target="http://siaarchitects.com/" TargetMode="External"/><Relationship Id="rId215" Type="http://schemas.openxmlformats.org/officeDocument/2006/relationships/hyperlink" Target="http://www.turfdesign.com/" TargetMode="External"/><Relationship Id="rId236" Type="http://schemas.openxmlformats.org/officeDocument/2006/relationships/hyperlink" Target="mailto:aba@aba-architects.com.au" TargetMode="External"/><Relationship Id="rId257" Type="http://schemas.openxmlformats.org/officeDocument/2006/relationships/hyperlink" Target="mailto:kerrim@bmarch.com.au" TargetMode="External"/><Relationship Id="rId278" Type="http://schemas.openxmlformats.org/officeDocument/2006/relationships/hyperlink" Target="mailto:cf@collard.com.au" TargetMode="External"/><Relationship Id="rId401" Type="http://schemas.openxmlformats.org/officeDocument/2006/relationships/hyperlink" Target="mailto:laurel@samcrawfordarchitects.com.au" TargetMode="External"/><Relationship Id="rId422" Type="http://schemas.openxmlformats.org/officeDocument/2006/relationships/hyperlink" Target="mailto:andrews@stanicharding.com.au" TargetMode="External"/><Relationship Id="rId443" Type="http://schemas.openxmlformats.org/officeDocument/2006/relationships/hyperlink" Target="mailto:marketing@thomsonadsett.com" TargetMode="External"/><Relationship Id="rId464" Type="http://schemas.openxmlformats.org/officeDocument/2006/relationships/hyperlink" Target="https://derixassociates.com/" TargetMode="External"/><Relationship Id="rId303" Type="http://schemas.openxmlformats.org/officeDocument/2006/relationships/hyperlink" Target="mailto:stuarts@aej.com.au" TargetMode="External"/><Relationship Id="rId485" Type="http://schemas.openxmlformats.org/officeDocument/2006/relationships/hyperlink" Target="https://www.brewstermurray.com.au/" TargetMode="External"/><Relationship Id="rId42" Type="http://schemas.openxmlformats.org/officeDocument/2006/relationships/hyperlink" Target="http://www.capitalinsight.com.au/" TargetMode="External"/><Relationship Id="rId84" Type="http://schemas.openxmlformats.org/officeDocument/2006/relationships/hyperlink" Target="http://thefulcrum.agency/" TargetMode="External"/><Relationship Id="rId138" Type="http://schemas.openxmlformats.org/officeDocument/2006/relationships/hyperlink" Target="http://www.nordonjago.com/" TargetMode="External"/><Relationship Id="rId345" Type="http://schemas.openxmlformats.org/officeDocument/2006/relationships/hyperlink" Target="mailto:michelle@michelletabet.com" TargetMode="External"/><Relationship Id="rId387" Type="http://schemas.openxmlformats.org/officeDocument/2006/relationships/hyperlink" Target="mailto:procurement@placedesigngroup.com" TargetMode="External"/><Relationship Id="rId510" Type="http://schemas.openxmlformats.org/officeDocument/2006/relationships/hyperlink" Target="mailto:belinda@atomadesign.com.au" TargetMode="External"/><Relationship Id="rId191" Type="http://schemas.openxmlformats.org/officeDocument/2006/relationships/hyperlink" Target="http://www.stanisic.com.au/" TargetMode="External"/><Relationship Id="rId205" Type="http://schemas.openxmlformats.org/officeDocument/2006/relationships/hyperlink" Target="https://www.team2.com.au/" TargetMode="External"/><Relationship Id="rId247" Type="http://schemas.openxmlformats.org/officeDocument/2006/relationships/hyperlink" Target="mailto:rf@arkilab.dk" TargetMode="External"/><Relationship Id="rId412" Type="http://schemas.openxmlformats.org/officeDocument/2006/relationships/hyperlink" Target="mailto:sasha@siaarchitects.com.au" TargetMode="External"/><Relationship Id="rId107" Type="http://schemas.openxmlformats.org/officeDocument/2006/relationships/hyperlink" Target="http://www.jpw.com.au/" TargetMode="External"/><Relationship Id="rId289" Type="http://schemas.openxmlformats.org/officeDocument/2006/relationships/hyperlink" Target="mailto:info@crone.com.au" TargetMode="External"/><Relationship Id="rId454" Type="http://schemas.openxmlformats.org/officeDocument/2006/relationships/hyperlink" Target="mailto:sean@urbanpossible.com" TargetMode="External"/><Relationship Id="rId496" Type="http://schemas.openxmlformats.org/officeDocument/2006/relationships/hyperlink" Target="mailto:info@kjassoc.com.au" TargetMode="External"/><Relationship Id="rId11" Type="http://schemas.openxmlformats.org/officeDocument/2006/relationships/hyperlink" Target="http://aleksandarprojects.com.au/" TargetMode="External"/><Relationship Id="rId53" Type="http://schemas.openxmlformats.org/officeDocument/2006/relationships/hyperlink" Target="http://www.colliers.com.au/" TargetMode="External"/><Relationship Id="rId149" Type="http://schemas.openxmlformats.org/officeDocument/2006/relationships/hyperlink" Target="http://www.pbdarchitects.com.au/" TargetMode="External"/><Relationship Id="rId314" Type="http://schemas.openxmlformats.org/officeDocument/2006/relationships/hyperlink" Target="mailto:libby@gallagherstudio.com.au" TargetMode="External"/><Relationship Id="rId356" Type="http://schemas.openxmlformats.org/officeDocument/2006/relationships/hyperlink" Target="mailto:info@mcintoshphelps.com.au" TargetMode="External"/><Relationship Id="rId398" Type="http://schemas.openxmlformats.org/officeDocument/2006/relationships/hyperlink" Target="mailto:audrey.churm@rpsgroup.com.au" TargetMode="External"/><Relationship Id="rId521" Type="http://schemas.openxmlformats.org/officeDocument/2006/relationships/hyperlink" Target="http://arup.com/" TargetMode="External"/><Relationship Id="rId95" Type="http://schemas.openxmlformats.org/officeDocument/2006/relationships/hyperlink" Target="http://www.hayball.com.au/" TargetMode="External"/><Relationship Id="rId160" Type="http://schemas.openxmlformats.org/officeDocument/2006/relationships/hyperlink" Target="http://www.r-ad.com.au/" TargetMode="External"/><Relationship Id="rId216" Type="http://schemas.openxmlformats.org/officeDocument/2006/relationships/hyperlink" Target="http://www.tyrrellstudio.com/" TargetMode="External"/><Relationship Id="rId423" Type="http://schemas.openxmlformats.org/officeDocument/2006/relationships/hyperlink" Target="mailto:jnowosad@stanisic.com.au" TargetMode="External"/><Relationship Id="rId258" Type="http://schemas.openxmlformats.org/officeDocument/2006/relationships/hyperlink" Target="mailto:tenders@blp.com.au" TargetMode="External"/><Relationship Id="rId465" Type="http://schemas.openxmlformats.org/officeDocument/2006/relationships/hyperlink" Target="mailto:christian@derixassociates.com" TargetMode="External"/><Relationship Id="rId22" Type="http://schemas.openxmlformats.org/officeDocument/2006/relationships/hyperlink" Target="http://www.architecturalprojects.net.au/" TargetMode="External"/><Relationship Id="rId64" Type="http://schemas.openxmlformats.org/officeDocument/2006/relationships/hyperlink" Target="http://www.cullenfeng.com.au/" TargetMode="External"/><Relationship Id="rId118" Type="http://schemas.openxmlformats.org/officeDocument/2006/relationships/hyperlink" Target="http://www.macegroup.com/locations/asia-pacific" TargetMode="External"/><Relationship Id="rId325" Type="http://schemas.openxmlformats.org/officeDocument/2006/relationships/hyperlink" Target="mailto:admin@hillthalis.com.au" TargetMode="External"/><Relationship Id="rId367" Type="http://schemas.openxmlformats.org/officeDocument/2006/relationships/hyperlink" Target="mailto:tenders@turnerstudio.com.au" TargetMode="External"/><Relationship Id="rId171" Type="http://schemas.openxmlformats.org/officeDocument/2006/relationships/hyperlink" Target="http://www.spackmanmossopmichaels.com/" TargetMode="External"/><Relationship Id="rId227" Type="http://schemas.openxmlformats.org/officeDocument/2006/relationships/hyperlink" Target="mailto:jeremy.oakes@acorn-projects.com.au" TargetMode="External"/><Relationship Id="rId269" Type="http://schemas.openxmlformats.org/officeDocument/2006/relationships/hyperlink" Target="mailto:ruzica@cdarchitects.com.au" TargetMode="External"/><Relationship Id="rId434" Type="http://schemas.openxmlformats.org/officeDocument/2006/relationships/hyperlink" Target="mailto:sue@suebarnsleydesign.com" TargetMode="External"/><Relationship Id="rId476" Type="http://schemas.openxmlformats.org/officeDocument/2006/relationships/hyperlink" Target="http://www.tzg.com.au/" TargetMode="External"/><Relationship Id="rId33" Type="http://schemas.openxmlformats.org/officeDocument/2006/relationships/hyperlink" Target="http://www.bennettandtrimble.com/" TargetMode="External"/><Relationship Id="rId129" Type="http://schemas.openxmlformats.org/officeDocument/2006/relationships/hyperlink" Target="http://www.mi.com.au/" TargetMode="External"/><Relationship Id="rId280" Type="http://schemas.openxmlformats.org/officeDocument/2006/relationships/hyperlink" Target="mailto:info@collinsandturner.com" TargetMode="External"/><Relationship Id="rId336" Type="http://schemas.openxmlformats.org/officeDocument/2006/relationships/hyperlink" Target="mailto:tenders@mcaslan.co.uk" TargetMode="External"/><Relationship Id="rId501" Type="http://schemas.openxmlformats.org/officeDocument/2006/relationships/hyperlink" Target="http://www.consentium.com.au/" TargetMode="External"/><Relationship Id="rId75" Type="http://schemas.openxmlformats.org/officeDocument/2006/relationships/hyperlink" Target="http://www.e8urban.com/" TargetMode="External"/><Relationship Id="rId140" Type="http://schemas.openxmlformats.org/officeDocument/2006/relationships/hyperlink" Target="http://www.oculus.info/" TargetMode="External"/><Relationship Id="rId182" Type="http://schemas.openxmlformats.org/officeDocument/2006/relationships/hyperlink" Target="http://www.silvesterfuller.com/" TargetMode="External"/><Relationship Id="rId378" Type="http://schemas.openxmlformats.org/officeDocument/2006/relationships/hyperlink" Target="mailto:bv@partnershill.com" TargetMode="External"/><Relationship Id="rId403" Type="http://schemas.openxmlformats.org/officeDocument/2006/relationships/hyperlink" Target="mailto:info@sm2group.com.au" TargetMode="External"/><Relationship Id="rId6" Type="http://schemas.openxmlformats.org/officeDocument/2006/relationships/hyperlink" Target="http://www.jocconsulting.com.au/" TargetMode="External"/><Relationship Id="rId238" Type="http://schemas.openxmlformats.org/officeDocument/2006/relationships/hyperlink" Target="mailto:jean@jeanrice.com.au" TargetMode="External"/><Relationship Id="rId445" Type="http://schemas.openxmlformats.org/officeDocument/2006/relationships/hyperlink" Target="mailto:dweber@tkda.com.au" TargetMode="External"/><Relationship Id="rId487" Type="http://schemas.openxmlformats.org/officeDocument/2006/relationships/hyperlink" Target="https://www.speddingtorres.com.au/" TargetMode="External"/><Relationship Id="rId291" Type="http://schemas.openxmlformats.org/officeDocument/2006/relationships/hyperlink" Target="mailto:craig@custance.com.au" TargetMode="External"/><Relationship Id="rId305" Type="http://schemas.openxmlformats.org/officeDocument/2006/relationships/hyperlink" Target="mailto:studio@eoghanlewis.com.au" TargetMode="External"/><Relationship Id="rId347" Type="http://schemas.openxmlformats.org/officeDocument/2006/relationships/hyperlink" Target="mailto:sara@linkplace.com.au" TargetMode="External"/><Relationship Id="rId512" Type="http://schemas.openxmlformats.org/officeDocument/2006/relationships/hyperlink" Target="mailto:saskia_ruting@gensler.com" TargetMode="External"/><Relationship Id="rId44" Type="http://schemas.openxmlformats.org/officeDocument/2006/relationships/hyperlink" Target="https://cathykubany.wixsite.com/architecture" TargetMode="External"/><Relationship Id="rId86" Type="http://schemas.openxmlformats.org/officeDocument/2006/relationships/hyperlink" Target="http://www.furtadosullivan.com/" TargetMode="External"/><Relationship Id="rId151" Type="http://schemas.openxmlformats.org/officeDocument/2006/relationships/hyperlink" Target="http://www.ptw.com.au/" TargetMode="External"/><Relationship Id="rId389" Type="http://schemas.openxmlformats.org/officeDocument/2006/relationships/hyperlink" Target="mailto:tracey.skovronek@purcellau.com" TargetMode="External"/><Relationship Id="rId193" Type="http://schemas.openxmlformats.org/officeDocument/2006/relationships/hyperlink" Target="http://www.stewartarchitecture.com.au/" TargetMode="External"/><Relationship Id="rId207" Type="http://schemas.openxmlformats.org/officeDocument/2006/relationships/hyperlink" Target="http://www.destravis.com/" TargetMode="External"/><Relationship Id="rId249" Type="http://schemas.openxmlformats.org/officeDocument/2006/relationships/hyperlink" Target="mailto:beson@ar-ma.net" TargetMode="External"/><Relationship Id="rId414" Type="http://schemas.openxmlformats.org/officeDocument/2006/relationships/hyperlink" Target="mailto:mail@silvesterfuller.com" TargetMode="External"/><Relationship Id="rId456" Type="http://schemas.openxmlformats.org/officeDocument/2006/relationships/hyperlink" Target="mailto:mail@welshmajor.com" TargetMode="External"/><Relationship Id="rId498" Type="http://schemas.openxmlformats.org/officeDocument/2006/relationships/hyperlink" Target="mailto:ruth@arcadiala.com.au" TargetMode="External"/><Relationship Id="rId13" Type="http://schemas.openxmlformats.org/officeDocument/2006/relationships/hyperlink" Target="http://www.architectsajc.com/" TargetMode="External"/><Relationship Id="rId109" Type="http://schemas.openxmlformats.org/officeDocument/2006/relationships/hyperlink" Target="http://www.kistudio.com.au/" TargetMode="External"/><Relationship Id="rId260" Type="http://schemas.openxmlformats.org/officeDocument/2006/relationships/hyperlink" Target="mailto:ray_h@bnmh.com.au" TargetMode="External"/><Relationship Id="rId316" Type="http://schemas.openxmlformats.org/officeDocument/2006/relationships/hyperlink" Target="mailto:sydtenders@ghd.com" TargetMode="External"/><Relationship Id="rId523" Type="http://schemas.openxmlformats.org/officeDocument/2006/relationships/hyperlink" Target="http://craft-arch.com.au/" TargetMode="External"/><Relationship Id="rId55" Type="http://schemas.openxmlformats.org/officeDocument/2006/relationships/hyperlink" Target="http://www.collinscaddaye.com.au/" TargetMode="External"/><Relationship Id="rId97" Type="http://schemas.openxmlformats.org/officeDocument/2006/relationships/hyperlink" Target="http://www.hka.com/" TargetMode="External"/><Relationship Id="rId120" Type="http://schemas.openxmlformats.org/officeDocument/2006/relationships/hyperlink" Target="http://www.makoarchitecture.com.au/" TargetMode="External"/><Relationship Id="rId358" Type="http://schemas.openxmlformats.org/officeDocument/2006/relationships/hyperlink" Target="mailto:architects@meloccomoore.com.au" TargetMode="External"/><Relationship Id="rId162" Type="http://schemas.openxmlformats.org/officeDocument/2006/relationships/hyperlink" Target="http://www.regionaldesignservice.com/" TargetMode="External"/><Relationship Id="rId218" Type="http://schemas.openxmlformats.org/officeDocument/2006/relationships/hyperlink" Target="http://www.urbanpossible.com/" TargetMode="External"/><Relationship Id="rId425" Type="http://schemas.openxmlformats.org/officeDocument/2006/relationships/hyperlink" Target="mailto:f.stewart@stewartarchitecture.com.au" TargetMode="External"/><Relationship Id="rId467" Type="http://schemas.openxmlformats.org/officeDocument/2006/relationships/hyperlink" Target="mailto:nicole.e@epnsw.com.au" TargetMode="External"/><Relationship Id="rId271" Type="http://schemas.openxmlformats.org/officeDocument/2006/relationships/hyperlink" Target="mailto:christoaitken@bigpond.com" TargetMode="External"/><Relationship Id="rId24" Type="http://schemas.openxmlformats.org/officeDocument/2006/relationships/hyperlink" Target="http://www.archrival.org/" TargetMode="External"/><Relationship Id="rId66" Type="http://schemas.openxmlformats.org/officeDocument/2006/relationships/hyperlink" Target="http://www.dsquaredconsulting.com.au/" TargetMode="External"/><Relationship Id="rId131" Type="http://schemas.openxmlformats.org/officeDocument/2006/relationships/hyperlink" Target="http://www.moirla.com.au/" TargetMode="External"/><Relationship Id="rId327" Type="http://schemas.openxmlformats.org/officeDocument/2006/relationships/hyperlink" Target="mailto:sgreen@greenanddale.com.au" TargetMode="External"/><Relationship Id="rId369" Type="http://schemas.openxmlformats.org/officeDocument/2006/relationships/hyperlink" Target="mailto:jdegouw@nordonjago.com" TargetMode="External"/><Relationship Id="rId173" Type="http://schemas.openxmlformats.org/officeDocument/2006/relationships/hyperlink" Target="http://www.sbaarch.com.au/" TargetMode="External"/><Relationship Id="rId229" Type="http://schemas.openxmlformats.org/officeDocument/2006/relationships/hyperlink" Target="mailto:info@adrianopupilli.com.au" TargetMode="External"/><Relationship Id="rId380" Type="http://schemas.openxmlformats.org/officeDocument/2006/relationships/hyperlink" Target="mailto:Sydney@pvh.com.au" TargetMode="External"/><Relationship Id="rId436" Type="http://schemas.openxmlformats.org/officeDocument/2006/relationships/hyperlink" Target="mailto:info@e2designlab.com.au" TargetMode="External"/><Relationship Id="rId240" Type="http://schemas.openxmlformats.org/officeDocument/2006/relationships/hyperlink" Target="mailto:atrimble@antelope.net.au" TargetMode="External"/><Relationship Id="rId478" Type="http://schemas.openxmlformats.org/officeDocument/2006/relationships/hyperlink" Target="mailto:au.tenders@warrenandmahoney.com" TargetMode="External"/><Relationship Id="rId35" Type="http://schemas.openxmlformats.org/officeDocument/2006/relationships/hyperlink" Target="http://www.blp.com.au/" TargetMode="External"/><Relationship Id="rId77" Type="http://schemas.openxmlformats.org/officeDocument/2006/relationships/hyperlink" Target="http://www.eelestrelease.com/" TargetMode="External"/><Relationship Id="rId100" Type="http://schemas.openxmlformats.org/officeDocument/2006/relationships/hyperlink" Target="https://www.ontoit.com/" TargetMode="External"/><Relationship Id="rId282" Type="http://schemas.openxmlformats.org/officeDocument/2006/relationships/hyperlink" Target="mailto:pcc@coso.com.au" TargetMode="External"/><Relationship Id="rId338" Type="http://schemas.openxmlformats.org/officeDocument/2006/relationships/hyperlink" Target="mailto:graeme.dix@jpw.com.au" TargetMode="External"/><Relationship Id="rId503" Type="http://schemas.openxmlformats.org/officeDocument/2006/relationships/hyperlink" Target="http://www.tcl.net.au/" TargetMode="External"/><Relationship Id="rId8" Type="http://schemas.openxmlformats.org/officeDocument/2006/relationships/hyperlink" Target="http://www.aecom.com/" TargetMode="External"/><Relationship Id="rId142" Type="http://schemas.openxmlformats.org/officeDocument/2006/relationships/hyperlink" Target="http://www.olssonassociates.com.au/" TargetMode="External"/><Relationship Id="rId184" Type="http://schemas.openxmlformats.org/officeDocument/2006/relationships/hyperlink" Target="http://sjb.com.au/" TargetMode="External"/><Relationship Id="rId391" Type="http://schemas.openxmlformats.org/officeDocument/2006/relationships/hyperlink" Target="mailto:garry@redbellydesign.com.au" TargetMode="External"/><Relationship Id="rId405" Type="http://schemas.openxmlformats.org/officeDocument/2006/relationships/hyperlink" Target="mailto:info@sbaarch.com.au" TargetMode="External"/><Relationship Id="rId447" Type="http://schemas.openxmlformats.org/officeDocument/2006/relationships/hyperlink" Target="mailto:towen@tonyowen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DCA5-F0EA-4E8E-B9E0-35A54594BF61}">
  <sheetPr>
    <pageSetUpPr fitToPage="1"/>
  </sheetPr>
  <dimension ref="A1:AC278"/>
  <sheetViews>
    <sheetView tabSelected="1" zoomScale="55" zoomScaleNormal="55" workbookViewId="0">
      <pane xSplit="12" ySplit="8" topLeftCell="M9" activePane="bottomRight" state="frozen"/>
      <selection pane="topRight" activeCell="M1" sqref="M1"/>
      <selection pane="bottomLeft" activeCell="A9" sqref="A9"/>
      <selection pane="bottomRight" activeCell="L9" sqref="L9"/>
    </sheetView>
  </sheetViews>
  <sheetFormatPr defaultRowHeight="28.8" x14ac:dyDescent="0.55000000000000004"/>
  <cols>
    <col min="1" max="1" width="15.21875" style="11" customWidth="1"/>
    <col min="2" max="2" width="13.5546875" style="11" customWidth="1"/>
    <col min="3" max="3" width="12.21875" style="11" customWidth="1"/>
    <col min="4" max="4" width="12.77734375" style="11" customWidth="1"/>
    <col min="5" max="5" width="13.21875" style="11" customWidth="1"/>
    <col min="6" max="6" width="12.44140625" style="11" customWidth="1"/>
    <col min="7" max="7" width="12.5546875" style="11" customWidth="1"/>
    <col min="8" max="8" width="10.77734375" style="11" customWidth="1"/>
    <col min="9" max="9" width="10.5546875" style="11" customWidth="1"/>
    <col min="10" max="10" width="12.21875" style="11" customWidth="1"/>
    <col min="11" max="11" width="12.5546875" style="11" customWidth="1"/>
    <col min="12" max="12" width="91.21875" style="21" customWidth="1"/>
    <col min="13" max="13" width="63.77734375" customWidth="1"/>
    <col min="14" max="14" width="37.77734375" customWidth="1"/>
    <col min="15" max="15" width="33.21875" customWidth="1"/>
    <col min="16" max="16" width="40.5546875" customWidth="1"/>
    <col min="17" max="17" width="26.77734375" customWidth="1"/>
    <col min="18" max="18" width="25.77734375" customWidth="1"/>
    <col min="19" max="19" width="17.77734375" customWidth="1"/>
    <col min="20" max="20" width="15.21875" customWidth="1"/>
    <col min="21" max="21" width="17.21875" customWidth="1"/>
    <col min="22" max="22" width="27.21875" customWidth="1"/>
    <col min="23" max="23" width="23.21875" customWidth="1"/>
    <col min="24" max="24" width="28" style="29" customWidth="1"/>
    <col min="25" max="25" width="28.77734375" customWidth="1"/>
    <col min="26" max="26" width="20.44140625" customWidth="1"/>
    <col min="27" max="27" width="24.5546875" customWidth="1"/>
    <col min="28" max="28" width="28.5546875" customWidth="1"/>
    <col min="29" max="29" width="113.77734375" style="24" customWidth="1"/>
  </cols>
  <sheetData>
    <row r="1" spans="1:29" ht="33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2"/>
      <c r="S1" s="2"/>
      <c r="T1" s="2"/>
      <c r="U1" s="2"/>
      <c r="V1" s="4"/>
      <c r="W1" s="4"/>
      <c r="X1" s="27"/>
      <c r="Y1" s="2"/>
      <c r="Z1" s="2"/>
      <c r="AA1" s="2"/>
      <c r="AB1" s="4"/>
      <c r="AC1" s="23"/>
    </row>
    <row r="2" spans="1:29" ht="30" x14ac:dyDescent="0.35">
      <c r="A2" s="31" t="s">
        <v>1</v>
      </c>
      <c r="B2" s="31"/>
      <c r="C2" s="5"/>
      <c r="D2" s="5"/>
      <c r="E2" s="25" t="s">
        <v>2</v>
      </c>
      <c r="F2" s="5"/>
      <c r="G2" s="5"/>
      <c r="H2" s="5"/>
      <c r="I2" s="5"/>
      <c r="J2" s="5"/>
      <c r="K2" s="5"/>
      <c r="L2" s="5"/>
      <c r="M2" s="5"/>
      <c r="N2" s="5"/>
      <c r="O2" s="2"/>
      <c r="P2" s="2"/>
      <c r="Q2" s="3"/>
      <c r="R2" s="2"/>
      <c r="S2" s="2"/>
      <c r="T2" s="2"/>
      <c r="U2" s="2"/>
      <c r="V2" s="4"/>
      <c r="W2" s="4"/>
      <c r="X2" s="27"/>
      <c r="Y2" s="2"/>
      <c r="Z2" s="2"/>
      <c r="AA2" s="2"/>
      <c r="AB2" s="4"/>
      <c r="AC2" s="23"/>
    </row>
    <row r="3" spans="1:29" ht="30" x14ac:dyDescent="0.35">
      <c r="A3" s="44" t="s">
        <v>3</v>
      </c>
      <c r="B3" s="44"/>
      <c r="C3" s="5"/>
      <c r="D3" s="5"/>
      <c r="E3" s="25" t="s">
        <v>4</v>
      </c>
      <c r="F3" s="5"/>
      <c r="G3" s="5"/>
      <c r="H3" s="5"/>
      <c r="I3" s="5"/>
      <c r="J3" s="5"/>
      <c r="K3" s="5"/>
      <c r="L3" s="5"/>
      <c r="M3" s="5"/>
      <c r="N3" s="5"/>
      <c r="O3" s="2"/>
      <c r="P3" s="2"/>
      <c r="Q3" s="3"/>
      <c r="R3" s="2"/>
      <c r="S3" s="2"/>
      <c r="T3" s="2"/>
      <c r="U3" s="2"/>
      <c r="V3" s="4"/>
      <c r="W3" s="4"/>
      <c r="X3" s="27"/>
      <c r="Y3" s="2"/>
      <c r="Z3" s="2"/>
      <c r="AA3" s="2"/>
      <c r="AB3" s="4"/>
      <c r="AC3" s="23"/>
    </row>
    <row r="4" spans="1:29" ht="30" x14ac:dyDescent="0.35">
      <c r="A4" s="45" t="s">
        <v>5</v>
      </c>
      <c r="B4" s="45"/>
      <c r="C4" s="5"/>
      <c r="D4" s="32"/>
      <c r="E4" s="32" t="s">
        <v>2177</v>
      </c>
      <c r="F4" s="6"/>
      <c r="G4" s="6"/>
      <c r="H4" s="6"/>
      <c r="I4" s="6"/>
      <c r="J4" s="6"/>
      <c r="K4" s="6"/>
      <c r="L4" s="6"/>
      <c r="M4" s="6"/>
      <c r="N4" s="6"/>
      <c r="O4" s="2"/>
      <c r="P4" s="2"/>
      <c r="Q4" s="3"/>
      <c r="R4" s="2"/>
      <c r="S4" s="2"/>
      <c r="T4" s="2"/>
      <c r="U4" s="2"/>
      <c r="V4" s="4"/>
      <c r="W4" s="4"/>
      <c r="X4" s="27"/>
      <c r="Y4" s="2"/>
      <c r="Z4" s="2"/>
      <c r="AA4" s="2"/>
      <c r="AB4" s="4"/>
      <c r="AC4" s="23"/>
    </row>
    <row r="5" spans="1:29" ht="33" x14ac:dyDescent="0.3">
      <c r="A5" s="1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7"/>
      <c r="N5" s="7"/>
      <c r="O5" s="8"/>
      <c r="P5" s="8"/>
      <c r="Q5" s="8"/>
      <c r="R5" s="8"/>
      <c r="S5" s="8"/>
      <c r="T5" s="8"/>
      <c r="U5" s="8"/>
      <c r="V5" s="9"/>
      <c r="W5" s="9"/>
      <c r="X5" s="28"/>
      <c r="Y5" s="8"/>
      <c r="Z5" s="8"/>
      <c r="AA5" s="8"/>
      <c r="AB5" s="9"/>
      <c r="AC5" s="10"/>
    </row>
    <row r="6" spans="1:29" ht="22.8" x14ac:dyDescent="0.3">
      <c r="A6" s="41" t="s">
        <v>7</v>
      </c>
      <c r="B6" s="42"/>
      <c r="C6" s="42"/>
      <c r="D6" s="42"/>
      <c r="E6" s="42"/>
      <c r="F6" s="42"/>
      <c r="G6" s="42"/>
      <c r="H6" s="42"/>
      <c r="I6" s="42"/>
      <c r="J6" s="42"/>
      <c r="K6" s="43"/>
      <c r="L6" s="40" t="s">
        <v>8</v>
      </c>
      <c r="M6" s="40"/>
      <c r="N6" s="40"/>
      <c r="O6" s="40"/>
      <c r="P6" s="40" t="s">
        <v>9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ht="22.8" x14ac:dyDescent="0.3">
      <c r="A7" s="41" t="s">
        <v>10</v>
      </c>
      <c r="B7" s="42"/>
      <c r="C7" s="42"/>
      <c r="D7" s="42"/>
      <c r="E7" s="42"/>
      <c r="F7" s="42"/>
      <c r="G7" s="43"/>
      <c r="H7" s="40" t="s">
        <v>11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</row>
    <row r="8" spans="1:29" ht="182.25" customHeight="1" x14ac:dyDescent="0.3">
      <c r="A8" s="12" t="s">
        <v>12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  <c r="J8" s="12" t="s">
        <v>21</v>
      </c>
      <c r="K8" s="12" t="s">
        <v>22</v>
      </c>
      <c r="L8" s="13" t="s">
        <v>23</v>
      </c>
      <c r="M8" s="13" t="s">
        <v>24</v>
      </c>
      <c r="N8" s="13" t="s">
        <v>25</v>
      </c>
      <c r="O8" s="13" t="s">
        <v>26</v>
      </c>
      <c r="P8" s="13" t="s">
        <v>27</v>
      </c>
      <c r="Q8" s="13" t="s">
        <v>28</v>
      </c>
      <c r="R8" s="13" t="s">
        <v>29</v>
      </c>
      <c r="S8" s="13" t="s">
        <v>30</v>
      </c>
      <c r="T8" s="14" t="s">
        <v>31</v>
      </c>
      <c r="U8" s="14" t="s">
        <v>32</v>
      </c>
      <c r="V8" s="13" t="s">
        <v>33</v>
      </c>
      <c r="W8" s="13" t="s">
        <v>34</v>
      </c>
      <c r="X8" s="13" t="s">
        <v>35</v>
      </c>
      <c r="Y8" s="13" t="s">
        <v>36</v>
      </c>
      <c r="Z8" s="14" t="s">
        <v>37</v>
      </c>
      <c r="AA8" s="13" t="s">
        <v>38</v>
      </c>
      <c r="AB8" s="13" t="s">
        <v>39</v>
      </c>
      <c r="AC8" s="13" t="s">
        <v>40</v>
      </c>
    </row>
    <row r="9" spans="1:29" ht="90" customHeight="1" x14ac:dyDescent="0.3">
      <c r="A9" s="15" t="s">
        <v>41</v>
      </c>
      <c r="B9" s="15" t="s">
        <v>41</v>
      </c>
      <c r="C9" s="15" t="s">
        <v>41</v>
      </c>
      <c r="D9" s="15" t="s">
        <v>41</v>
      </c>
      <c r="E9" s="15" t="s">
        <v>41</v>
      </c>
      <c r="F9" s="16" t="s">
        <v>42</v>
      </c>
      <c r="G9" s="16" t="s">
        <v>42</v>
      </c>
      <c r="H9" s="16" t="s">
        <v>42</v>
      </c>
      <c r="I9" s="16" t="s">
        <v>42</v>
      </c>
      <c r="J9" s="16" t="s">
        <v>42</v>
      </c>
      <c r="K9" s="16" t="s">
        <v>42</v>
      </c>
      <c r="L9" s="22" t="s">
        <v>43</v>
      </c>
      <c r="M9" s="18" t="s">
        <v>44</v>
      </c>
      <c r="N9" s="26" t="s">
        <v>45</v>
      </c>
      <c r="O9" s="18" t="s">
        <v>46</v>
      </c>
      <c r="P9" s="18" t="s">
        <v>47</v>
      </c>
      <c r="Q9" s="18" t="s">
        <v>48</v>
      </c>
      <c r="R9" s="18" t="s">
        <v>49</v>
      </c>
      <c r="S9" s="18" t="s">
        <v>50</v>
      </c>
      <c r="T9" s="18" t="s">
        <v>51</v>
      </c>
      <c r="U9" s="18" t="str">
        <f>"3008"</f>
        <v>3008</v>
      </c>
      <c r="V9" s="18" t="str">
        <f>"0419300083"</f>
        <v>0419300083</v>
      </c>
      <c r="W9" s="18" t="str">
        <f>"0419300083"</f>
        <v>0419300083</v>
      </c>
      <c r="X9" s="26" t="s">
        <v>52</v>
      </c>
      <c r="Y9" s="18" t="s">
        <v>53</v>
      </c>
      <c r="Z9" s="18" t="s">
        <v>54</v>
      </c>
      <c r="AA9" s="18">
        <v>36612189465</v>
      </c>
      <c r="AB9" s="18">
        <v>612189465</v>
      </c>
      <c r="AC9" s="18" t="s">
        <v>55</v>
      </c>
    </row>
    <row r="10" spans="1:29" ht="90" customHeight="1" x14ac:dyDescent="0.3">
      <c r="A10" s="16" t="s">
        <v>42</v>
      </c>
      <c r="B10" s="15" t="s">
        <v>41</v>
      </c>
      <c r="C10" s="16" t="s">
        <v>42</v>
      </c>
      <c r="D10" s="16" t="s">
        <v>42</v>
      </c>
      <c r="E10" s="16" t="s">
        <v>42</v>
      </c>
      <c r="F10" s="16" t="s">
        <v>42</v>
      </c>
      <c r="G10" s="16" t="s">
        <v>42</v>
      </c>
      <c r="H10" s="16" t="s">
        <v>42</v>
      </c>
      <c r="I10" s="16" t="s">
        <v>42</v>
      </c>
      <c r="J10" s="16" t="s">
        <v>42</v>
      </c>
      <c r="K10" s="16" t="s">
        <v>42</v>
      </c>
      <c r="L10" s="22" t="s">
        <v>56</v>
      </c>
      <c r="M10" s="18" t="s">
        <v>57</v>
      </c>
      <c r="N10" s="26" t="s">
        <v>58</v>
      </c>
      <c r="O10" s="18" t="s">
        <v>59</v>
      </c>
      <c r="P10" s="18" t="s">
        <v>60</v>
      </c>
      <c r="Q10" s="18" t="s">
        <v>61</v>
      </c>
      <c r="R10" s="18"/>
      <c r="S10" s="18" t="s">
        <v>62</v>
      </c>
      <c r="T10" s="18" t="s">
        <v>63</v>
      </c>
      <c r="U10" s="18">
        <v>2093</v>
      </c>
      <c r="V10" s="18" t="s">
        <v>64</v>
      </c>
      <c r="W10" s="18" t="s">
        <v>64</v>
      </c>
      <c r="X10" s="26" t="s">
        <v>65</v>
      </c>
      <c r="Y10" s="18"/>
      <c r="Z10" s="18" t="s">
        <v>54</v>
      </c>
      <c r="AA10" s="18">
        <v>37645803612</v>
      </c>
      <c r="AB10" s="18">
        <v>645803612</v>
      </c>
      <c r="AC10" s="18" t="s">
        <v>66</v>
      </c>
    </row>
    <row r="11" spans="1:29" ht="90" customHeight="1" x14ac:dyDescent="0.3">
      <c r="A11" s="16" t="s">
        <v>42</v>
      </c>
      <c r="B11" s="16" t="s">
        <v>42</v>
      </c>
      <c r="C11" s="16" t="s">
        <v>42</v>
      </c>
      <c r="D11" s="16" t="s">
        <v>42</v>
      </c>
      <c r="E11" s="16" t="s">
        <v>42</v>
      </c>
      <c r="F11" s="16" t="s">
        <v>42</v>
      </c>
      <c r="G11" s="16" t="s">
        <v>42</v>
      </c>
      <c r="H11" s="15" t="s">
        <v>41</v>
      </c>
      <c r="I11" s="16" t="s">
        <v>42</v>
      </c>
      <c r="J11" s="16" t="s">
        <v>42</v>
      </c>
      <c r="K11" s="15" t="s">
        <v>41</v>
      </c>
      <c r="L11" s="17" t="s">
        <v>67</v>
      </c>
      <c r="M11" s="18" t="s">
        <v>68</v>
      </c>
      <c r="N11" s="26" t="s">
        <v>69</v>
      </c>
      <c r="O11" s="18" t="s">
        <v>70</v>
      </c>
      <c r="P11" s="18" t="s">
        <v>71</v>
      </c>
      <c r="Q11" s="18" t="s">
        <v>72</v>
      </c>
      <c r="R11" s="18"/>
      <c r="S11" s="18" t="s">
        <v>73</v>
      </c>
      <c r="T11" s="18" t="s">
        <v>63</v>
      </c>
      <c r="U11" s="18" t="str">
        <f>"2095"</f>
        <v>2095</v>
      </c>
      <c r="V11" s="18" t="str">
        <f>"0415302520"</f>
        <v>0415302520</v>
      </c>
      <c r="W11" s="18" t="str">
        <f>"0415302520"</f>
        <v>0415302520</v>
      </c>
      <c r="X11" s="26" t="s">
        <v>74</v>
      </c>
      <c r="Y11" s="18" t="s">
        <v>75</v>
      </c>
      <c r="Z11" s="18" t="s">
        <v>54</v>
      </c>
      <c r="AA11" s="18">
        <v>46612769481</v>
      </c>
      <c r="AB11" s="18">
        <v>612769481</v>
      </c>
      <c r="AC11" s="18" t="s">
        <v>76</v>
      </c>
    </row>
    <row r="12" spans="1:29" ht="90" customHeight="1" x14ac:dyDescent="0.3">
      <c r="A12" s="16" t="s">
        <v>42</v>
      </c>
      <c r="B12" s="16" t="s">
        <v>42</v>
      </c>
      <c r="C12" s="16" t="s">
        <v>42</v>
      </c>
      <c r="D12" s="16" t="s">
        <v>42</v>
      </c>
      <c r="E12" s="16" t="s">
        <v>42</v>
      </c>
      <c r="F12" s="16" t="s">
        <v>42</v>
      </c>
      <c r="G12" s="16" t="s">
        <v>42</v>
      </c>
      <c r="H12" s="16" t="s">
        <v>42</v>
      </c>
      <c r="I12" s="15" t="s">
        <v>41</v>
      </c>
      <c r="J12" s="15" t="s">
        <v>41</v>
      </c>
      <c r="K12" s="16" t="s">
        <v>42</v>
      </c>
      <c r="L12" s="17" t="s">
        <v>77</v>
      </c>
      <c r="M12" s="18" t="s">
        <v>78</v>
      </c>
      <c r="N12" s="26" t="s">
        <v>79</v>
      </c>
      <c r="O12" s="18" t="s">
        <v>80</v>
      </c>
      <c r="P12" s="18" t="s">
        <v>81</v>
      </c>
      <c r="Q12" s="18" t="s">
        <v>82</v>
      </c>
      <c r="R12" s="18"/>
      <c r="S12" s="18" t="s">
        <v>83</v>
      </c>
      <c r="T12" s="18" t="s">
        <v>63</v>
      </c>
      <c r="U12" s="18" t="str">
        <f>"2000"</f>
        <v>2000</v>
      </c>
      <c r="V12" s="18" t="str">
        <f>"+61 2 8934 0786"</f>
        <v>+61 2 8934 0786</v>
      </c>
      <c r="W12" s="18" t="str">
        <f>"0449807407"</f>
        <v>0449807407</v>
      </c>
      <c r="X12" s="26" t="s">
        <v>84</v>
      </c>
      <c r="Y12" s="18"/>
      <c r="Z12" s="18" t="s">
        <v>85</v>
      </c>
      <c r="AA12" s="18">
        <v>20093846925</v>
      </c>
      <c r="AB12" s="18">
        <v>93846925</v>
      </c>
      <c r="AC12" s="18" t="s">
        <v>86</v>
      </c>
    </row>
    <row r="13" spans="1:29" ht="90" customHeight="1" x14ac:dyDescent="0.3">
      <c r="A13" s="16" t="s">
        <v>42</v>
      </c>
      <c r="B13" s="16" t="s">
        <v>42</v>
      </c>
      <c r="C13" s="16" t="s">
        <v>42</v>
      </c>
      <c r="D13" s="16" t="s">
        <v>42</v>
      </c>
      <c r="E13" s="16" t="s">
        <v>42</v>
      </c>
      <c r="F13" s="16" t="s">
        <v>42</v>
      </c>
      <c r="G13" s="16" t="s">
        <v>42</v>
      </c>
      <c r="H13" s="15" t="s">
        <v>41</v>
      </c>
      <c r="I13" s="16" t="s">
        <v>42</v>
      </c>
      <c r="J13" s="16" t="s">
        <v>42</v>
      </c>
      <c r="K13" s="15" t="s">
        <v>41</v>
      </c>
      <c r="L13" s="17" t="s">
        <v>2154</v>
      </c>
      <c r="M13" s="18" t="s">
        <v>87</v>
      </c>
      <c r="N13" s="26" t="s">
        <v>88</v>
      </c>
      <c r="O13" s="18" t="s">
        <v>89</v>
      </c>
      <c r="P13" s="18" t="s">
        <v>60</v>
      </c>
      <c r="Q13" s="18" t="s">
        <v>2155</v>
      </c>
      <c r="R13" s="18"/>
      <c r="S13" s="18" t="s">
        <v>130</v>
      </c>
      <c r="T13" s="18" t="s">
        <v>63</v>
      </c>
      <c r="U13" s="18" t="str">
        <f>"2010"</f>
        <v>2010</v>
      </c>
      <c r="V13" s="18" t="str">
        <f>"0407263542"</f>
        <v>0407263542</v>
      </c>
      <c r="W13" s="18" t="s">
        <v>2156</v>
      </c>
      <c r="X13" s="26" t="s">
        <v>91</v>
      </c>
      <c r="Y13" s="18" t="s">
        <v>92</v>
      </c>
      <c r="Z13" s="18" t="s">
        <v>54</v>
      </c>
      <c r="AA13" s="18">
        <v>49164730938</v>
      </c>
      <c r="AB13" s="18">
        <v>164730938</v>
      </c>
      <c r="AC13" s="18" t="s">
        <v>2157</v>
      </c>
    </row>
    <row r="14" spans="1:29" ht="90" customHeight="1" x14ac:dyDescent="0.3">
      <c r="A14" s="16" t="s">
        <v>42</v>
      </c>
      <c r="B14" s="16" t="s">
        <v>42</v>
      </c>
      <c r="C14" s="16" t="s">
        <v>42</v>
      </c>
      <c r="D14" s="16" t="s">
        <v>42</v>
      </c>
      <c r="E14" s="16" t="s">
        <v>42</v>
      </c>
      <c r="F14" s="16" t="s">
        <v>42</v>
      </c>
      <c r="G14" s="16" t="s">
        <v>42</v>
      </c>
      <c r="H14" s="15" t="s">
        <v>41</v>
      </c>
      <c r="I14" s="16" t="s">
        <v>42</v>
      </c>
      <c r="J14" s="16" t="s">
        <v>42</v>
      </c>
      <c r="K14" s="15" t="s">
        <v>41</v>
      </c>
      <c r="L14" s="17" t="s">
        <v>94</v>
      </c>
      <c r="M14" s="18" t="s">
        <v>95</v>
      </c>
      <c r="N14" s="26" t="s">
        <v>96</v>
      </c>
      <c r="O14" s="18" t="s">
        <v>97</v>
      </c>
      <c r="P14" s="18" t="s">
        <v>60</v>
      </c>
      <c r="Q14" s="18" t="s">
        <v>98</v>
      </c>
      <c r="R14" s="18"/>
      <c r="S14" s="18" t="s">
        <v>99</v>
      </c>
      <c r="T14" s="18" t="s">
        <v>63</v>
      </c>
      <c r="U14" s="18">
        <v>2009</v>
      </c>
      <c r="V14" s="18" t="str">
        <f>"0466535162"</f>
        <v>0466535162</v>
      </c>
      <c r="W14" s="18" t="str">
        <f>"0466535162"</f>
        <v>0466535162</v>
      </c>
      <c r="X14" s="26" t="s">
        <v>100</v>
      </c>
      <c r="Y14" s="18"/>
      <c r="Z14" s="18" t="s">
        <v>54</v>
      </c>
      <c r="AA14" s="18">
        <v>71167650213</v>
      </c>
      <c r="AB14" s="18">
        <v>167650213</v>
      </c>
      <c r="AC14" s="18" t="s">
        <v>2158</v>
      </c>
    </row>
    <row r="15" spans="1:29" ht="90" customHeight="1" x14ac:dyDescent="0.3">
      <c r="A15" s="16" t="s">
        <v>42</v>
      </c>
      <c r="B15" s="16" t="s">
        <v>42</v>
      </c>
      <c r="C15" s="16" t="s">
        <v>42</v>
      </c>
      <c r="D15" s="16" t="s">
        <v>42</v>
      </c>
      <c r="E15" s="16" t="s">
        <v>42</v>
      </c>
      <c r="F15" s="16" t="s">
        <v>42</v>
      </c>
      <c r="G15" s="16" t="s">
        <v>42</v>
      </c>
      <c r="H15" s="15" t="s">
        <v>41</v>
      </c>
      <c r="I15" s="15" t="s">
        <v>41</v>
      </c>
      <c r="J15" s="16" t="s">
        <v>42</v>
      </c>
      <c r="K15" s="16" t="s">
        <v>42</v>
      </c>
      <c r="L15" s="17" t="s">
        <v>101</v>
      </c>
      <c r="M15" s="18" t="s">
        <v>102</v>
      </c>
      <c r="N15" s="26" t="s">
        <v>103</v>
      </c>
      <c r="O15" s="18" t="s">
        <v>104</v>
      </c>
      <c r="P15" s="18" t="s">
        <v>105</v>
      </c>
      <c r="Q15" s="18" t="s">
        <v>106</v>
      </c>
      <c r="R15" s="18"/>
      <c r="S15" s="18" t="s">
        <v>107</v>
      </c>
      <c r="T15" s="18" t="s">
        <v>63</v>
      </c>
      <c r="U15" s="18" t="str">
        <f>"2011"</f>
        <v>2011</v>
      </c>
      <c r="V15" s="18" t="str">
        <f>"0293615560"</f>
        <v>0293615560</v>
      </c>
      <c r="W15" s="18" t="str">
        <f>"0414642796"</f>
        <v>0414642796</v>
      </c>
      <c r="X15" s="26" t="s">
        <v>108</v>
      </c>
      <c r="Y15" s="18" t="s">
        <v>101</v>
      </c>
      <c r="Z15" s="18" t="s">
        <v>54</v>
      </c>
      <c r="AA15" s="18">
        <v>66107359071</v>
      </c>
      <c r="AB15" s="18">
        <v>107359071</v>
      </c>
      <c r="AC15" s="18" t="s">
        <v>109</v>
      </c>
    </row>
    <row r="16" spans="1:29" ht="90" customHeight="1" x14ac:dyDescent="0.3">
      <c r="A16" s="16" t="s">
        <v>42</v>
      </c>
      <c r="B16" s="16" t="s">
        <v>42</v>
      </c>
      <c r="C16" s="16" t="s">
        <v>42</v>
      </c>
      <c r="D16" s="16" t="s">
        <v>42</v>
      </c>
      <c r="E16" s="15" t="s">
        <v>41</v>
      </c>
      <c r="F16" s="16" t="s">
        <v>42</v>
      </c>
      <c r="G16" s="16" t="s">
        <v>42</v>
      </c>
      <c r="H16" s="16" t="s">
        <v>42</v>
      </c>
      <c r="I16" s="16" t="s">
        <v>42</v>
      </c>
      <c r="J16" s="16" t="s">
        <v>42</v>
      </c>
      <c r="K16" s="16" t="s">
        <v>42</v>
      </c>
      <c r="L16" s="17" t="s">
        <v>110</v>
      </c>
      <c r="M16" s="18" t="s">
        <v>111</v>
      </c>
      <c r="N16" s="26" t="s">
        <v>112</v>
      </c>
      <c r="O16" s="18" t="s">
        <v>113</v>
      </c>
      <c r="P16" s="18" t="s">
        <v>114</v>
      </c>
      <c r="Q16" s="18" t="s">
        <v>115</v>
      </c>
      <c r="R16" s="18"/>
      <c r="S16" s="18" t="s">
        <v>116</v>
      </c>
      <c r="T16" s="18" t="s">
        <v>63</v>
      </c>
      <c r="U16" s="18" t="str">
        <f>"2444"</f>
        <v>2444</v>
      </c>
      <c r="V16" s="18" t="str">
        <f>"(02) 65831305"</f>
        <v>(02) 65831305</v>
      </c>
      <c r="W16" s="18" t="str">
        <f>"(0419) 632293"</f>
        <v>(0419) 632293</v>
      </c>
      <c r="X16" s="26" t="s">
        <v>117</v>
      </c>
      <c r="Y16" s="18" t="s">
        <v>110</v>
      </c>
      <c r="Z16" s="18" t="s">
        <v>54</v>
      </c>
      <c r="AA16" s="18">
        <v>46105052015</v>
      </c>
      <c r="AB16" s="18">
        <v>105052015</v>
      </c>
      <c r="AC16" s="18" t="s">
        <v>118</v>
      </c>
    </row>
    <row r="17" spans="1:29" ht="90" customHeight="1" x14ac:dyDescent="0.3">
      <c r="A17" s="15" t="s">
        <v>41</v>
      </c>
      <c r="B17" s="16" t="s">
        <v>42</v>
      </c>
      <c r="C17" s="16" t="s">
        <v>42</v>
      </c>
      <c r="D17" s="16" t="s">
        <v>42</v>
      </c>
      <c r="E17" s="16" t="s">
        <v>42</v>
      </c>
      <c r="F17" s="16" t="s">
        <v>42</v>
      </c>
      <c r="G17" s="16" t="s">
        <v>42</v>
      </c>
      <c r="H17" s="15" t="s">
        <v>41</v>
      </c>
      <c r="I17" s="15" t="s">
        <v>41</v>
      </c>
      <c r="J17" s="16" t="s">
        <v>42</v>
      </c>
      <c r="K17" s="16" t="s">
        <v>42</v>
      </c>
      <c r="L17" s="17" t="s">
        <v>2135</v>
      </c>
      <c r="M17" s="18" t="s">
        <v>2136</v>
      </c>
      <c r="N17" s="26" t="s">
        <v>119</v>
      </c>
      <c r="O17" s="18" t="s">
        <v>2137</v>
      </c>
      <c r="P17" s="18" t="s">
        <v>2138</v>
      </c>
      <c r="Q17" s="18" t="s">
        <v>120</v>
      </c>
      <c r="R17" s="18"/>
      <c r="S17" s="18" t="s">
        <v>121</v>
      </c>
      <c r="T17" s="18" t="s">
        <v>63</v>
      </c>
      <c r="U17" s="18" t="str">
        <f>"2008"</f>
        <v>2008</v>
      </c>
      <c r="V17" s="18" t="str">
        <f>"0293118222"</f>
        <v>0293118222</v>
      </c>
      <c r="W17" s="18" t="str">
        <f>""</f>
        <v/>
      </c>
      <c r="X17" s="26" t="s">
        <v>122</v>
      </c>
      <c r="Y17" s="18"/>
      <c r="Z17" s="18" t="s">
        <v>123</v>
      </c>
      <c r="AA17" s="18">
        <v>53003782250</v>
      </c>
      <c r="AB17" s="18"/>
      <c r="AC17" s="18" t="s">
        <v>124</v>
      </c>
    </row>
    <row r="18" spans="1:29" ht="90" customHeight="1" x14ac:dyDescent="0.3">
      <c r="A18" s="16" t="s">
        <v>42</v>
      </c>
      <c r="B18" s="16" t="s">
        <v>42</v>
      </c>
      <c r="C18" s="16" t="s">
        <v>42</v>
      </c>
      <c r="D18" s="16" t="s">
        <v>42</v>
      </c>
      <c r="E18" s="16" t="s">
        <v>42</v>
      </c>
      <c r="F18" s="16" t="s">
        <v>42</v>
      </c>
      <c r="G18" s="16" t="s">
        <v>42</v>
      </c>
      <c r="H18" s="15" t="s">
        <v>41</v>
      </c>
      <c r="I18" s="16" t="s">
        <v>42</v>
      </c>
      <c r="J18" s="16" t="s">
        <v>42</v>
      </c>
      <c r="K18" s="16" t="s">
        <v>42</v>
      </c>
      <c r="L18" s="17" t="s">
        <v>125</v>
      </c>
      <c r="M18" s="18" t="s">
        <v>126</v>
      </c>
      <c r="N18" s="26" t="s">
        <v>127</v>
      </c>
      <c r="O18" s="18" t="s">
        <v>128</v>
      </c>
      <c r="P18" s="18" t="s">
        <v>60</v>
      </c>
      <c r="Q18" s="18" t="s">
        <v>129</v>
      </c>
      <c r="R18" s="18"/>
      <c r="S18" s="18" t="s">
        <v>130</v>
      </c>
      <c r="T18" s="18" t="s">
        <v>63</v>
      </c>
      <c r="U18" s="18" t="str">
        <f>"2010"</f>
        <v>2010</v>
      </c>
      <c r="V18" s="18" t="str">
        <f>"61293317433"</f>
        <v>61293317433</v>
      </c>
      <c r="W18" s="18" t="str">
        <f>""</f>
        <v/>
      </c>
      <c r="X18" s="26" t="s">
        <v>131</v>
      </c>
      <c r="Y18" s="18" t="s">
        <v>132</v>
      </c>
      <c r="Z18" s="18" t="s">
        <v>54</v>
      </c>
      <c r="AA18" s="18">
        <v>73097145456</v>
      </c>
      <c r="AB18" s="18">
        <v>97145456</v>
      </c>
      <c r="AC18" s="18" t="s">
        <v>86</v>
      </c>
    </row>
    <row r="19" spans="1:29" ht="90" customHeight="1" x14ac:dyDescent="0.3">
      <c r="A19" s="16" t="s">
        <v>42</v>
      </c>
      <c r="B19" s="16" t="s">
        <v>42</v>
      </c>
      <c r="C19" s="16" t="s">
        <v>42</v>
      </c>
      <c r="D19" s="16" t="s">
        <v>42</v>
      </c>
      <c r="E19" s="16" t="s">
        <v>42</v>
      </c>
      <c r="F19" s="16" t="s">
        <v>42</v>
      </c>
      <c r="G19" s="16" t="s">
        <v>42</v>
      </c>
      <c r="H19" s="15" t="s">
        <v>41</v>
      </c>
      <c r="I19" s="16" t="s">
        <v>42</v>
      </c>
      <c r="J19" s="16" t="s">
        <v>42</v>
      </c>
      <c r="K19" s="15" t="s">
        <v>41</v>
      </c>
      <c r="L19" s="17" t="s">
        <v>133</v>
      </c>
      <c r="M19" s="18" t="s">
        <v>134</v>
      </c>
      <c r="N19" s="26" t="s">
        <v>135</v>
      </c>
      <c r="O19" s="18" t="s">
        <v>136</v>
      </c>
      <c r="P19" s="18" t="s">
        <v>60</v>
      </c>
      <c r="Q19" s="18" t="s">
        <v>137</v>
      </c>
      <c r="R19" s="18"/>
      <c r="S19" s="18" t="s">
        <v>138</v>
      </c>
      <c r="T19" s="18" t="s">
        <v>63</v>
      </c>
      <c r="U19" s="18" t="str">
        <f>"2010"</f>
        <v>2010</v>
      </c>
      <c r="V19" s="18" t="str">
        <f>"02 9212 1141"</f>
        <v>02 9212 1141</v>
      </c>
      <c r="W19" s="18" t="str">
        <f>"0405 191 150"</f>
        <v>0405 191 150</v>
      </c>
      <c r="X19" s="26" t="s">
        <v>139</v>
      </c>
      <c r="Y19" s="18" t="s">
        <v>140</v>
      </c>
      <c r="Z19" s="18" t="s">
        <v>54</v>
      </c>
      <c r="AA19" s="18">
        <v>63228433165</v>
      </c>
      <c r="AB19" s="18">
        <v>128324792</v>
      </c>
      <c r="AC19" s="18" t="s">
        <v>141</v>
      </c>
    </row>
    <row r="20" spans="1:29" ht="90" customHeight="1" x14ac:dyDescent="0.3">
      <c r="A20" s="16" t="s">
        <v>42</v>
      </c>
      <c r="B20" s="16" t="s">
        <v>42</v>
      </c>
      <c r="C20" s="16" t="s">
        <v>42</v>
      </c>
      <c r="D20" s="16" t="s">
        <v>42</v>
      </c>
      <c r="E20" s="16" t="s">
        <v>42</v>
      </c>
      <c r="F20" s="16" t="s">
        <v>42</v>
      </c>
      <c r="G20" s="16" t="s">
        <v>42</v>
      </c>
      <c r="H20" s="15" t="s">
        <v>41</v>
      </c>
      <c r="I20" s="16" t="s">
        <v>42</v>
      </c>
      <c r="J20" s="16" t="s">
        <v>42</v>
      </c>
      <c r="K20" s="16" t="s">
        <v>42</v>
      </c>
      <c r="L20" s="17" t="s">
        <v>142</v>
      </c>
      <c r="M20" s="18" t="s">
        <v>143</v>
      </c>
      <c r="N20" s="26" t="s">
        <v>144</v>
      </c>
      <c r="O20" s="18" t="s">
        <v>145</v>
      </c>
      <c r="P20" s="18" t="s">
        <v>60</v>
      </c>
      <c r="Q20" s="18" t="s">
        <v>146</v>
      </c>
      <c r="R20" s="18"/>
      <c r="S20" s="18" t="s">
        <v>147</v>
      </c>
      <c r="T20" s="18" t="s">
        <v>63</v>
      </c>
      <c r="U20" s="18" t="str">
        <f>"2042"</f>
        <v>2042</v>
      </c>
      <c r="V20" s="18" t="str">
        <f>"0290295982"</f>
        <v>0290295982</v>
      </c>
      <c r="W20" s="18" t="str">
        <f>"0430082440"</f>
        <v>0430082440</v>
      </c>
      <c r="X20" s="26" t="s">
        <v>148</v>
      </c>
      <c r="Y20" s="18" t="s">
        <v>149</v>
      </c>
      <c r="Z20" s="18" t="s">
        <v>54</v>
      </c>
      <c r="AA20" s="18">
        <v>81002171253</v>
      </c>
      <c r="AB20" s="18">
        <v>2171253</v>
      </c>
      <c r="AC20" s="18" t="s">
        <v>150</v>
      </c>
    </row>
    <row r="21" spans="1:29" ht="90" customHeight="1" x14ac:dyDescent="0.3">
      <c r="A21" s="16" t="s">
        <v>42</v>
      </c>
      <c r="B21" s="16" t="s">
        <v>42</v>
      </c>
      <c r="C21" s="16" t="s">
        <v>42</v>
      </c>
      <c r="D21" s="16" t="s">
        <v>42</v>
      </c>
      <c r="E21" s="16" t="s">
        <v>42</v>
      </c>
      <c r="F21" s="16" t="s">
        <v>42</v>
      </c>
      <c r="G21" s="16" t="s">
        <v>42</v>
      </c>
      <c r="H21" s="15" t="s">
        <v>41</v>
      </c>
      <c r="I21" s="16" t="s">
        <v>42</v>
      </c>
      <c r="J21" s="16" t="s">
        <v>42</v>
      </c>
      <c r="K21" s="16" t="s">
        <v>42</v>
      </c>
      <c r="L21" s="17" t="s">
        <v>151</v>
      </c>
      <c r="M21" s="18" t="s">
        <v>152</v>
      </c>
      <c r="N21" s="26" t="s">
        <v>153</v>
      </c>
      <c r="O21" s="18" t="s">
        <v>154</v>
      </c>
      <c r="P21" s="18" t="s">
        <v>155</v>
      </c>
      <c r="Q21" s="18" t="s">
        <v>156</v>
      </c>
      <c r="R21" s="18"/>
      <c r="S21" s="18" t="s">
        <v>83</v>
      </c>
      <c r="T21" s="18" t="s">
        <v>63</v>
      </c>
      <c r="U21" s="18" t="str">
        <f>"2000"</f>
        <v>2000</v>
      </c>
      <c r="V21" s="18" t="str">
        <f>"0292837755"</f>
        <v>0292837755</v>
      </c>
      <c r="W21" s="18" t="str">
        <f>""</f>
        <v/>
      </c>
      <c r="X21" s="26" t="s">
        <v>157</v>
      </c>
      <c r="Y21" s="18" t="s">
        <v>158</v>
      </c>
      <c r="Z21" s="18" t="s">
        <v>123</v>
      </c>
      <c r="AA21" s="18">
        <v>45070219288</v>
      </c>
      <c r="AB21" s="18"/>
      <c r="AC21" s="18" t="s">
        <v>159</v>
      </c>
    </row>
    <row r="22" spans="1:29" ht="90" customHeight="1" x14ac:dyDescent="0.3">
      <c r="A22" s="16" t="s">
        <v>42</v>
      </c>
      <c r="B22" s="16" t="s">
        <v>42</v>
      </c>
      <c r="C22" s="16" t="s">
        <v>42</v>
      </c>
      <c r="D22" s="16" t="s">
        <v>42</v>
      </c>
      <c r="E22" s="15" t="s">
        <v>41</v>
      </c>
      <c r="F22" s="16" t="s">
        <v>42</v>
      </c>
      <c r="G22" s="16" t="s">
        <v>42</v>
      </c>
      <c r="H22" s="16" t="s">
        <v>42</v>
      </c>
      <c r="I22" s="16" t="s">
        <v>42</v>
      </c>
      <c r="J22" s="16" t="s">
        <v>42</v>
      </c>
      <c r="K22" s="16" t="s">
        <v>42</v>
      </c>
      <c r="L22" s="17" t="s">
        <v>160</v>
      </c>
      <c r="M22" s="18" t="s">
        <v>161</v>
      </c>
      <c r="N22" s="26" t="s">
        <v>162</v>
      </c>
      <c r="O22" s="18" t="s">
        <v>163</v>
      </c>
      <c r="P22" s="18" t="s">
        <v>60</v>
      </c>
      <c r="Q22" s="18" t="s">
        <v>164</v>
      </c>
      <c r="R22" s="18"/>
      <c r="S22" s="18" t="s">
        <v>165</v>
      </c>
      <c r="T22" s="18" t="s">
        <v>63</v>
      </c>
      <c r="U22" s="18" t="str">
        <f>"2045"</f>
        <v>2045</v>
      </c>
      <c r="V22" s="18" t="str">
        <f>"0419231572"</f>
        <v>0419231572</v>
      </c>
      <c r="W22" s="18" t="str">
        <f>"0419231572"</f>
        <v>0419231572</v>
      </c>
      <c r="X22" s="26" t="s">
        <v>166</v>
      </c>
      <c r="Y22" s="18"/>
      <c r="Z22" s="18" t="s">
        <v>54</v>
      </c>
      <c r="AA22" s="18">
        <v>36623191631</v>
      </c>
      <c r="AB22" s="18">
        <v>623191631</v>
      </c>
      <c r="AC22" s="18" t="s">
        <v>167</v>
      </c>
    </row>
    <row r="23" spans="1:29" ht="90" customHeight="1" x14ac:dyDescent="0.3">
      <c r="A23" s="16" t="s">
        <v>42</v>
      </c>
      <c r="B23" s="16" t="s">
        <v>42</v>
      </c>
      <c r="C23" s="16" t="s">
        <v>42</v>
      </c>
      <c r="D23" s="16" t="s">
        <v>42</v>
      </c>
      <c r="E23" s="16" t="s">
        <v>42</v>
      </c>
      <c r="F23" s="16" t="s">
        <v>42</v>
      </c>
      <c r="G23" s="16" t="s">
        <v>42</v>
      </c>
      <c r="H23" s="16" t="s">
        <v>42</v>
      </c>
      <c r="I23" s="16" t="s">
        <v>42</v>
      </c>
      <c r="J23" s="15" t="s">
        <v>41</v>
      </c>
      <c r="K23" s="16" t="s">
        <v>42</v>
      </c>
      <c r="L23" s="17" t="s">
        <v>2035</v>
      </c>
      <c r="M23" s="18" t="s">
        <v>2036</v>
      </c>
      <c r="N23" s="26" t="s">
        <v>2037</v>
      </c>
      <c r="O23" s="18" t="s">
        <v>2038</v>
      </c>
      <c r="P23" s="18" t="s">
        <v>871</v>
      </c>
      <c r="Q23" s="18" t="s">
        <v>2039</v>
      </c>
      <c r="R23" s="18" t="s">
        <v>2040</v>
      </c>
      <c r="S23" s="18" t="s">
        <v>99</v>
      </c>
      <c r="T23" s="18" t="s">
        <v>63</v>
      </c>
      <c r="U23" s="18">
        <v>2009</v>
      </c>
      <c r="V23" s="18" t="s">
        <v>2041</v>
      </c>
      <c r="W23" s="18" t="s">
        <v>2042</v>
      </c>
      <c r="X23" s="26" t="s">
        <v>2043</v>
      </c>
      <c r="Y23" s="18"/>
      <c r="Z23" s="18" t="s">
        <v>123</v>
      </c>
      <c r="AA23" s="18">
        <v>83148994870</v>
      </c>
      <c r="AB23" s="18">
        <v>148994870</v>
      </c>
      <c r="AC23" s="18" t="s">
        <v>2044</v>
      </c>
    </row>
    <row r="24" spans="1:29" ht="90" customHeight="1" x14ac:dyDescent="0.3">
      <c r="A24" s="16" t="s">
        <v>42</v>
      </c>
      <c r="B24" s="16" t="s">
        <v>42</v>
      </c>
      <c r="C24" s="16" t="s">
        <v>42</v>
      </c>
      <c r="D24" s="16" t="s">
        <v>42</v>
      </c>
      <c r="E24" s="16" t="s">
        <v>42</v>
      </c>
      <c r="F24" s="16" t="s">
        <v>42</v>
      </c>
      <c r="G24" s="16" t="s">
        <v>42</v>
      </c>
      <c r="H24" s="15" t="s">
        <v>41</v>
      </c>
      <c r="I24" s="16" t="s">
        <v>42</v>
      </c>
      <c r="J24" s="16" t="s">
        <v>42</v>
      </c>
      <c r="K24" s="15" t="s">
        <v>41</v>
      </c>
      <c r="L24" s="17" t="s">
        <v>168</v>
      </c>
      <c r="M24" s="18" t="s">
        <v>169</v>
      </c>
      <c r="N24" s="26" t="s">
        <v>170</v>
      </c>
      <c r="O24" s="18" t="s">
        <v>171</v>
      </c>
      <c r="P24" s="18" t="s">
        <v>60</v>
      </c>
      <c r="Q24" s="18" t="s">
        <v>172</v>
      </c>
      <c r="R24" s="18" t="s">
        <v>173</v>
      </c>
      <c r="S24" s="18" t="s">
        <v>130</v>
      </c>
      <c r="T24" s="18" t="s">
        <v>63</v>
      </c>
      <c r="U24" s="18" t="str">
        <f>"2010"</f>
        <v>2010</v>
      </c>
      <c r="V24" s="18" t="str">
        <f>"0291917326"</f>
        <v>0291917326</v>
      </c>
      <c r="W24" s="18" t="str">
        <f>"0402320786"</f>
        <v>0402320786</v>
      </c>
      <c r="X24" s="26" t="s">
        <v>174</v>
      </c>
      <c r="Y24" s="18" t="s">
        <v>175</v>
      </c>
      <c r="Z24" s="18" t="s">
        <v>54</v>
      </c>
      <c r="AA24" s="18">
        <v>78162692293</v>
      </c>
      <c r="AB24" s="18">
        <v>162692293</v>
      </c>
      <c r="AC24" s="18" t="s">
        <v>176</v>
      </c>
    </row>
    <row r="25" spans="1:29" ht="90" customHeight="1" x14ac:dyDescent="0.3">
      <c r="A25" s="16" t="s">
        <v>42</v>
      </c>
      <c r="B25" s="16" t="s">
        <v>42</v>
      </c>
      <c r="C25" s="16" t="s">
        <v>42</v>
      </c>
      <c r="D25" s="16" t="s">
        <v>42</v>
      </c>
      <c r="E25" s="16" t="s">
        <v>42</v>
      </c>
      <c r="F25" s="16" t="s">
        <v>42</v>
      </c>
      <c r="G25" s="16" t="s">
        <v>42</v>
      </c>
      <c r="H25" s="16" t="s">
        <v>42</v>
      </c>
      <c r="I25" s="16" t="s">
        <v>42</v>
      </c>
      <c r="J25" s="16" t="s">
        <v>42</v>
      </c>
      <c r="K25" s="15" t="s">
        <v>41</v>
      </c>
      <c r="L25" s="17" t="s">
        <v>2051</v>
      </c>
      <c r="M25" s="18" t="s">
        <v>2083</v>
      </c>
      <c r="N25" s="26" t="s">
        <v>2084</v>
      </c>
      <c r="O25" s="18" t="s">
        <v>2085</v>
      </c>
      <c r="P25" s="18" t="s">
        <v>60</v>
      </c>
      <c r="Q25" s="18" t="s">
        <v>708</v>
      </c>
      <c r="R25" s="18" t="s">
        <v>2086</v>
      </c>
      <c r="S25" s="18" t="s">
        <v>130</v>
      </c>
      <c r="T25" s="18" t="s">
        <v>63</v>
      </c>
      <c r="U25" s="18" t="str">
        <f>"2010"</f>
        <v>2010</v>
      </c>
      <c r="V25" s="18" t="s">
        <v>2087</v>
      </c>
      <c r="W25" s="18" t="s">
        <v>2088</v>
      </c>
      <c r="X25" s="26" t="s">
        <v>2089</v>
      </c>
      <c r="Y25" s="18"/>
      <c r="Z25" s="18" t="s">
        <v>54</v>
      </c>
      <c r="AA25" s="18">
        <v>30266322371</v>
      </c>
      <c r="AB25" s="18"/>
      <c r="AC25" s="18" t="s">
        <v>2090</v>
      </c>
    </row>
    <row r="26" spans="1:29" ht="90" customHeight="1" x14ac:dyDescent="0.3">
      <c r="A26" s="16" t="s">
        <v>42</v>
      </c>
      <c r="B26" s="16" t="s">
        <v>42</v>
      </c>
      <c r="C26" s="16" t="s">
        <v>42</v>
      </c>
      <c r="D26" s="16" t="s">
        <v>42</v>
      </c>
      <c r="E26" s="16" t="s">
        <v>42</v>
      </c>
      <c r="F26" s="16" t="s">
        <v>42</v>
      </c>
      <c r="G26" s="16" t="s">
        <v>42</v>
      </c>
      <c r="H26" s="15" t="s">
        <v>41</v>
      </c>
      <c r="I26" s="16" t="s">
        <v>42</v>
      </c>
      <c r="J26" s="16" t="s">
        <v>42</v>
      </c>
      <c r="K26" s="16" t="s">
        <v>42</v>
      </c>
      <c r="L26" s="17" t="s">
        <v>177</v>
      </c>
      <c r="M26" s="18" t="s">
        <v>178</v>
      </c>
      <c r="N26" s="26" t="s">
        <v>179</v>
      </c>
      <c r="O26" s="18" t="s">
        <v>180</v>
      </c>
      <c r="P26" s="18" t="s">
        <v>60</v>
      </c>
      <c r="Q26" s="18" t="s">
        <v>181</v>
      </c>
      <c r="R26" s="18"/>
      <c r="S26" s="18" t="s">
        <v>182</v>
      </c>
      <c r="T26" s="18" t="s">
        <v>63</v>
      </c>
      <c r="U26" s="18" t="str">
        <f>"2022"</f>
        <v>2022</v>
      </c>
      <c r="V26" s="18" t="str">
        <f>"02 93895978"</f>
        <v>02 93895978</v>
      </c>
      <c r="W26" s="18" t="str">
        <f>"0411157607"</f>
        <v>0411157607</v>
      </c>
      <c r="X26" s="26" t="s">
        <v>183</v>
      </c>
      <c r="Y26" s="18"/>
      <c r="Z26" s="18" t="s">
        <v>54</v>
      </c>
      <c r="AA26" s="18">
        <v>88003637401</v>
      </c>
      <c r="AB26" s="18">
        <v>3637401</v>
      </c>
      <c r="AC26" s="18" t="s">
        <v>184</v>
      </c>
    </row>
    <row r="27" spans="1:29" ht="90" customHeight="1" x14ac:dyDescent="0.3">
      <c r="A27" s="16" t="s">
        <v>42</v>
      </c>
      <c r="B27" s="16" t="s">
        <v>42</v>
      </c>
      <c r="C27" s="16" t="s">
        <v>42</v>
      </c>
      <c r="D27" s="16" t="s">
        <v>42</v>
      </c>
      <c r="E27" s="16" t="s">
        <v>42</v>
      </c>
      <c r="F27" s="16" t="s">
        <v>42</v>
      </c>
      <c r="G27" s="16" t="s">
        <v>42</v>
      </c>
      <c r="H27" s="15" t="s">
        <v>41</v>
      </c>
      <c r="I27" s="16" t="s">
        <v>42</v>
      </c>
      <c r="J27" s="16" t="s">
        <v>42</v>
      </c>
      <c r="K27" s="16" t="s">
        <v>42</v>
      </c>
      <c r="L27" s="17" t="s">
        <v>185</v>
      </c>
      <c r="M27" s="18" t="s">
        <v>186</v>
      </c>
      <c r="N27" s="26" t="s">
        <v>187</v>
      </c>
      <c r="O27" s="18" t="s">
        <v>188</v>
      </c>
      <c r="P27" s="18" t="s">
        <v>189</v>
      </c>
      <c r="Q27" s="18" t="s">
        <v>190</v>
      </c>
      <c r="R27" s="18" t="s">
        <v>191</v>
      </c>
      <c r="S27" s="18" t="s">
        <v>192</v>
      </c>
      <c r="T27" s="18" t="s">
        <v>63</v>
      </c>
      <c r="U27" s="18" t="str">
        <f>"2016"</f>
        <v>2016</v>
      </c>
      <c r="V27" s="18" t="str">
        <f>"02 9360 9833"</f>
        <v>02 9360 9833</v>
      </c>
      <c r="W27" s="18" t="str">
        <f>"0412122599"</f>
        <v>0412122599</v>
      </c>
      <c r="X27" s="26" t="s">
        <v>193</v>
      </c>
      <c r="Y27" s="18" t="s">
        <v>194</v>
      </c>
      <c r="Z27" s="18" t="s">
        <v>54</v>
      </c>
      <c r="AA27" s="18">
        <v>17003735993</v>
      </c>
      <c r="AB27" s="18"/>
      <c r="AC27" s="18" t="s">
        <v>195</v>
      </c>
    </row>
    <row r="28" spans="1:29" ht="90" customHeight="1" x14ac:dyDescent="0.3">
      <c r="A28" s="16" t="s">
        <v>42</v>
      </c>
      <c r="B28" s="16" t="s">
        <v>42</v>
      </c>
      <c r="C28" s="16" t="s">
        <v>42</v>
      </c>
      <c r="D28" s="16" t="s">
        <v>42</v>
      </c>
      <c r="E28" s="16" t="s">
        <v>42</v>
      </c>
      <c r="F28" s="16" t="s">
        <v>42</v>
      </c>
      <c r="G28" s="16" t="s">
        <v>42</v>
      </c>
      <c r="H28" s="15" t="s">
        <v>41</v>
      </c>
      <c r="I28" s="16" t="s">
        <v>42</v>
      </c>
      <c r="J28" s="16" t="s">
        <v>42</v>
      </c>
      <c r="K28" s="16" t="s">
        <v>42</v>
      </c>
      <c r="L28" s="17" t="s">
        <v>196</v>
      </c>
      <c r="M28" s="18" t="s">
        <v>197</v>
      </c>
      <c r="N28" s="26" t="s">
        <v>198</v>
      </c>
      <c r="O28" s="18" t="s">
        <v>199</v>
      </c>
      <c r="P28" s="18" t="s">
        <v>60</v>
      </c>
      <c r="Q28" s="18" t="s">
        <v>200</v>
      </c>
      <c r="R28" s="18"/>
      <c r="S28" s="18" t="s">
        <v>201</v>
      </c>
      <c r="T28" s="18" t="s">
        <v>63</v>
      </c>
      <c r="U28" s="18" t="str">
        <f>"2008"</f>
        <v>2008</v>
      </c>
      <c r="V28" s="18" t="str">
        <f>"(02) 83031700"</f>
        <v>(02) 83031700</v>
      </c>
      <c r="W28" s="18" t="str">
        <f>"0417284050"</f>
        <v>0417284050</v>
      </c>
      <c r="X28" s="26" t="s">
        <v>202</v>
      </c>
      <c r="Y28" s="18" t="s">
        <v>203</v>
      </c>
      <c r="Z28" s="18" t="s">
        <v>54</v>
      </c>
      <c r="AA28" s="18">
        <v>78003526823</v>
      </c>
      <c r="AB28" s="18">
        <v>3526823</v>
      </c>
      <c r="AC28" s="18" t="s">
        <v>204</v>
      </c>
    </row>
    <row r="29" spans="1:29" ht="90" customHeight="1" x14ac:dyDescent="0.3">
      <c r="A29" s="16" t="s">
        <v>42</v>
      </c>
      <c r="B29" s="16" t="s">
        <v>42</v>
      </c>
      <c r="C29" s="16" t="s">
        <v>42</v>
      </c>
      <c r="D29" s="16" t="s">
        <v>42</v>
      </c>
      <c r="E29" s="16" t="s">
        <v>42</v>
      </c>
      <c r="F29" s="16" t="s">
        <v>42</v>
      </c>
      <c r="G29" s="16" t="s">
        <v>42</v>
      </c>
      <c r="H29" s="15" t="s">
        <v>41</v>
      </c>
      <c r="I29" s="15" t="s">
        <v>41</v>
      </c>
      <c r="J29" s="16" t="s">
        <v>42</v>
      </c>
      <c r="K29" s="16" t="s">
        <v>42</v>
      </c>
      <c r="L29" s="17" t="s">
        <v>205</v>
      </c>
      <c r="M29" s="18" t="s">
        <v>205</v>
      </c>
      <c r="N29" s="26" t="s">
        <v>206</v>
      </c>
      <c r="O29" s="18" t="s">
        <v>207</v>
      </c>
      <c r="P29" s="18" t="s">
        <v>208</v>
      </c>
      <c r="Q29" s="18" t="s">
        <v>209</v>
      </c>
      <c r="R29" s="18" t="s">
        <v>210</v>
      </c>
      <c r="S29" s="18" t="s">
        <v>83</v>
      </c>
      <c r="T29" s="18" t="s">
        <v>63</v>
      </c>
      <c r="U29" s="18" t="str">
        <f>"2000"</f>
        <v>2000</v>
      </c>
      <c r="V29" s="18" t="str">
        <f>"02 8252 8400"</f>
        <v>02 8252 8400</v>
      </c>
      <c r="W29" s="18" t="str">
        <f>""</f>
        <v/>
      </c>
      <c r="X29" s="26" t="s">
        <v>211</v>
      </c>
      <c r="Y29" s="18" t="s">
        <v>212</v>
      </c>
      <c r="Z29" s="18" t="s">
        <v>213</v>
      </c>
      <c r="AA29" s="18">
        <v>90131245684</v>
      </c>
      <c r="AB29" s="18">
        <v>131245684</v>
      </c>
      <c r="AC29" s="18" t="s">
        <v>214</v>
      </c>
    </row>
    <row r="30" spans="1:29" ht="90" customHeight="1" x14ac:dyDescent="0.3">
      <c r="A30" s="16" t="s">
        <v>42</v>
      </c>
      <c r="B30" s="16" t="s">
        <v>42</v>
      </c>
      <c r="C30" s="16" t="s">
        <v>42</v>
      </c>
      <c r="D30" s="16" t="s">
        <v>42</v>
      </c>
      <c r="E30" s="16" t="s">
        <v>42</v>
      </c>
      <c r="F30" s="16" t="s">
        <v>42</v>
      </c>
      <c r="G30" s="16" t="s">
        <v>42</v>
      </c>
      <c r="H30" s="16" t="s">
        <v>42</v>
      </c>
      <c r="I30" s="16" t="s">
        <v>42</v>
      </c>
      <c r="J30" s="16" t="s">
        <v>42</v>
      </c>
      <c r="K30" s="15" t="s">
        <v>41</v>
      </c>
      <c r="L30" s="17" t="s">
        <v>215</v>
      </c>
      <c r="M30" s="18" t="s">
        <v>215</v>
      </c>
      <c r="N30" s="26" t="s">
        <v>216</v>
      </c>
      <c r="O30" s="18" t="s">
        <v>217</v>
      </c>
      <c r="P30" s="18" t="s">
        <v>218</v>
      </c>
      <c r="Q30" s="18" t="s">
        <v>219</v>
      </c>
      <c r="R30" s="18"/>
      <c r="S30" s="18" t="s">
        <v>220</v>
      </c>
      <c r="T30" s="18" t="s">
        <v>63</v>
      </c>
      <c r="U30" s="18" t="str">
        <f>"2043"</f>
        <v>2043</v>
      </c>
      <c r="V30" s="18" t="str">
        <f>"0405264875"</f>
        <v>0405264875</v>
      </c>
      <c r="W30" s="18" t="str">
        <f>"0405264875"</f>
        <v>0405264875</v>
      </c>
      <c r="X30" s="26" t="s">
        <v>221</v>
      </c>
      <c r="Y30" s="18" t="s">
        <v>215</v>
      </c>
      <c r="Z30" s="18" t="s">
        <v>54</v>
      </c>
      <c r="AA30" s="18">
        <v>96336784696</v>
      </c>
      <c r="AB30" s="18"/>
      <c r="AC30" s="18" t="s">
        <v>222</v>
      </c>
    </row>
    <row r="31" spans="1:29" ht="90" customHeight="1" x14ac:dyDescent="0.3">
      <c r="A31" s="16" t="s">
        <v>42</v>
      </c>
      <c r="B31" s="16" t="s">
        <v>42</v>
      </c>
      <c r="C31" s="16" t="s">
        <v>42</v>
      </c>
      <c r="D31" s="16" t="s">
        <v>42</v>
      </c>
      <c r="E31" s="15" t="s">
        <v>41</v>
      </c>
      <c r="F31" s="16" t="s">
        <v>42</v>
      </c>
      <c r="G31" s="16" t="s">
        <v>42</v>
      </c>
      <c r="H31" s="16" t="s">
        <v>42</v>
      </c>
      <c r="I31" s="15" t="s">
        <v>41</v>
      </c>
      <c r="J31" s="16" t="s">
        <v>42</v>
      </c>
      <c r="K31" s="16" t="s">
        <v>42</v>
      </c>
      <c r="L31" s="17" t="s">
        <v>223</v>
      </c>
      <c r="M31" s="18" t="s">
        <v>224</v>
      </c>
      <c r="N31" s="26" t="s">
        <v>225</v>
      </c>
      <c r="O31" s="18" t="s">
        <v>226</v>
      </c>
      <c r="P31" s="18" t="s">
        <v>227</v>
      </c>
      <c r="Q31" s="18" t="s">
        <v>228</v>
      </c>
      <c r="R31" s="18"/>
      <c r="S31" s="18" t="s">
        <v>229</v>
      </c>
      <c r="T31" s="18" t="s">
        <v>63</v>
      </c>
      <c r="U31" s="18" t="str">
        <f>"2041"</f>
        <v>2041</v>
      </c>
      <c r="V31" s="18" t="str">
        <f>"+61 (0) 474 325 047"</f>
        <v>+61 (0) 474 325 047</v>
      </c>
      <c r="W31" s="18" t="str">
        <f>""</f>
        <v/>
      </c>
      <c r="X31" s="26" t="s">
        <v>230</v>
      </c>
      <c r="Y31" s="18"/>
      <c r="Z31" s="18" t="s">
        <v>54</v>
      </c>
      <c r="AA31" s="18">
        <v>89628118785</v>
      </c>
      <c r="AB31" s="18">
        <v>628118785</v>
      </c>
      <c r="AC31" s="18" t="s">
        <v>231</v>
      </c>
    </row>
    <row r="32" spans="1:29" ht="90" customHeight="1" x14ac:dyDescent="0.3">
      <c r="A32" s="16" t="s">
        <v>42</v>
      </c>
      <c r="B32" s="16" t="s">
        <v>42</v>
      </c>
      <c r="C32" s="16" t="s">
        <v>42</v>
      </c>
      <c r="D32" s="16" t="s">
        <v>42</v>
      </c>
      <c r="E32" s="16" t="s">
        <v>42</v>
      </c>
      <c r="F32" s="16" t="s">
        <v>42</v>
      </c>
      <c r="G32" s="16" t="s">
        <v>42</v>
      </c>
      <c r="H32" s="15" t="s">
        <v>41</v>
      </c>
      <c r="I32" s="16" t="s">
        <v>42</v>
      </c>
      <c r="J32" s="16" t="s">
        <v>42</v>
      </c>
      <c r="K32" s="16" t="s">
        <v>42</v>
      </c>
      <c r="L32" s="17" t="s">
        <v>232</v>
      </c>
      <c r="M32" s="18" t="s">
        <v>233</v>
      </c>
      <c r="N32" s="26" t="s">
        <v>234</v>
      </c>
      <c r="O32" s="18" t="s">
        <v>235</v>
      </c>
      <c r="P32" s="18" t="s">
        <v>60</v>
      </c>
      <c r="Q32" s="18" t="s">
        <v>236</v>
      </c>
      <c r="R32" s="18"/>
      <c r="S32" s="18" t="s">
        <v>237</v>
      </c>
      <c r="T32" s="18" t="s">
        <v>63</v>
      </c>
      <c r="U32" s="18" t="str">
        <f>"3000"</f>
        <v>3000</v>
      </c>
      <c r="V32" s="18" t="str">
        <f>"(03)86131888"</f>
        <v>(03)86131888</v>
      </c>
      <c r="W32" s="18" t="str">
        <f>"0410567420"</f>
        <v>0410567420</v>
      </c>
      <c r="X32" s="26" t="s">
        <v>238</v>
      </c>
      <c r="Y32" s="18"/>
      <c r="Z32" s="18" t="s">
        <v>123</v>
      </c>
      <c r="AA32" s="18">
        <v>22476949399</v>
      </c>
      <c r="AB32" s="18">
        <v>4662962</v>
      </c>
      <c r="AC32" s="18" t="s">
        <v>239</v>
      </c>
    </row>
    <row r="33" spans="1:29" ht="90" customHeight="1" x14ac:dyDescent="0.3">
      <c r="A33" s="16" t="s">
        <v>42</v>
      </c>
      <c r="B33" s="16" t="s">
        <v>42</v>
      </c>
      <c r="C33" s="16" t="s">
        <v>42</v>
      </c>
      <c r="D33" s="16" t="s">
        <v>42</v>
      </c>
      <c r="E33" s="16" t="s">
        <v>42</v>
      </c>
      <c r="F33" s="16" t="s">
        <v>42</v>
      </c>
      <c r="G33" s="16" t="s">
        <v>42</v>
      </c>
      <c r="H33" s="15" t="s">
        <v>41</v>
      </c>
      <c r="I33" s="16" t="s">
        <v>42</v>
      </c>
      <c r="J33" s="16" t="s">
        <v>42</v>
      </c>
      <c r="K33" s="15" t="s">
        <v>41</v>
      </c>
      <c r="L33" s="17" t="s">
        <v>240</v>
      </c>
      <c r="M33" s="18" t="s">
        <v>241</v>
      </c>
      <c r="N33" s="26" t="s">
        <v>242</v>
      </c>
      <c r="O33" s="18" t="s">
        <v>243</v>
      </c>
      <c r="P33" s="18" t="s">
        <v>60</v>
      </c>
      <c r="Q33" s="18" t="s">
        <v>244</v>
      </c>
      <c r="R33" s="18"/>
      <c r="S33" s="18" t="s">
        <v>90</v>
      </c>
      <c r="T33" s="18" t="s">
        <v>63</v>
      </c>
      <c r="U33" s="18" t="str">
        <f>"2010"</f>
        <v>2010</v>
      </c>
      <c r="V33" s="18" t="str">
        <f>"+61 2 8999 3880"</f>
        <v>+61 2 8999 3880</v>
      </c>
      <c r="W33" s="18" t="str">
        <f>"+61 407 331 322"</f>
        <v>+61 407 331 322</v>
      </c>
      <c r="X33" s="26" t="s">
        <v>245</v>
      </c>
      <c r="Y33" s="18" t="s">
        <v>246</v>
      </c>
      <c r="Z33" s="18" t="s">
        <v>54</v>
      </c>
      <c r="AA33" s="18">
        <v>79608893849</v>
      </c>
      <c r="AB33" s="18">
        <v>608893849</v>
      </c>
      <c r="AC33" s="18" t="s">
        <v>247</v>
      </c>
    </row>
    <row r="34" spans="1:29" ht="90" customHeight="1" x14ac:dyDescent="0.3">
      <c r="A34" s="16" t="s">
        <v>42</v>
      </c>
      <c r="B34" s="16" t="s">
        <v>42</v>
      </c>
      <c r="C34" s="16" t="s">
        <v>42</v>
      </c>
      <c r="D34" s="16" t="s">
        <v>42</v>
      </c>
      <c r="E34" s="16" t="s">
        <v>42</v>
      </c>
      <c r="F34" s="16" t="s">
        <v>42</v>
      </c>
      <c r="G34" s="16" t="s">
        <v>42</v>
      </c>
      <c r="H34" s="16" t="s">
        <v>42</v>
      </c>
      <c r="I34" s="16" t="s">
        <v>42</v>
      </c>
      <c r="J34" s="15" t="s">
        <v>41</v>
      </c>
      <c r="K34" s="15" t="s">
        <v>41</v>
      </c>
      <c r="L34" s="17" t="s">
        <v>248</v>
      </c>
      <c r="M34" s="18" t="s">
        <v>249</v>
      </c>
      <c r="N34" s="26" t="s">
        <v>250</v>
      </c>
      <c r="O34" s="18" t="s">
        <v>251</v>
      </c>
      <c r="P34" s="18" t="s">
        <v>47</v>
      </c>
      <c r="Q34" s="18" t="s">
        <v>252</v>
      </c>
      <c r="R34" s="18"/>
      <c r="S34" s="18" t="s">
        <v>253</v>
      </c>
      <c r="T34" s="18" t="s">
        <v>63</v>
      </c>
      <c r="U34" s="18" t="str">
        <f>"2261"</f>
        <v>2261</v>
      </c>
      <c r="V34" s="18" t="str">
        <f>"(02)43883409"</f>
        <v>(02)43883409</v>
      </c>
      <c r="W34" s="18" t="str">
        <f>"0403062152"</f>
        <v>0403062152</v>
      </c>
      <c r="X34" s="26" t="s">
        <v>254</v>
      </c>
      <c r="Y34" s="18" t="s">
        <v>255</v>
      </c>
      <c r="Z34" s="18" t="s">
        <v>54</v>
      </c>
      <c r="AA34" s="18">
        <v>52615243162</v>
      </c>
      <c r="AB34" s="18">
        <v>615243162</v>
      </c>
      <c r="AC34" s="18" t="s">
        <v>256</v>
      </c>
    </row>
    <row r="35" spans="1:29" ht="90" customHeight="1" x14ac:dyDescent="0.3">
      <c r="A35" s="15" t="s">
        <v>41</v>
      </c>
      <c r="B35" s="16" t="s">
        <v>42</v>
      </c>
      <c r="C35" s="16" t="s">
        <v>42</v>
      </c>
      <c r="D35" s="15" t="s">
        <v>41</v>
      </c>
      <c r="E35" s="16" t="s">
        <v>42</v>
      </c>
      <c r="F35" s="15" t="s">
        <v>41</v>
      </c>
      <c r="G35" s="16" t="s">
        <v>42</v>
      </c>
      <c r="H35" s="16" t="s">
        <v>42</v>
      </c>
      <c r="I35" s="15" t="s">
        <v>41</v>
      </c>
      <c r="J35" s="15" t="s">
        <v>41</v>
      </c>
      <c r="K35" s="16" t="s">
        <v>42</v>
      </c>
      <c r="L35" s="17" t="s">
        <v>2205</v>
      </c>
      <c r="M35" s="18" t="s">
        <v>2206</v>
      </c>
      <c r="N35" s="26" t="s">
        <v>2207</v>
      </c>
      <c r="O35" s="18" t="s">
        <v>2208</v>
      </c>
      <c r="P35" s="18" t="s">
        <v>2209</v>
      </c>
      <c r="Q35" s="18" t="s">
        <v>2210</v>
      </c>
      <c r="R35" s="18" t="s">
        <v>2211</v>
      </c>
      <c r="S35" s="18" t="s">
        <v>83</v>
      </c>
      <c r="T35" s="18" t="s">
        <v>63</v>
      </c>
      <c r="U35" s="18">
        <v>2000</v>
      </c>
      <c r="V35" s="18" t="s">
        <v>2212</v>
      </c>
      <c r="W35" s="18"/>
      <c r="X35" s="26" t="s">
        <v>2213</v>
      </c>
      <c r="Y35" s="18"/>
      <c r="Z35" s="18" t="s">
        <v>85</v>
      </c>
      <c r="AA35" s="18">
        <v>76625912665</v>
      </c>
      <c r="AB35" s="18">
        <v>625912665</v>
      </c>
      <c r="AC35" s="18" t="s">
        <v>2214</v>
      </c>
    </row>
    <row r="36" spans="1:29" ht="90" customHeight="1" x14ac:dyDescent="0.3">
      <c r="A36" s="15" t="s">
        <v>41</v>
      </c>
      <c r="B36" s="16" t="s">
        <v>42</v>
      </c>
      <c r="C36" s="16" t="s">
        <v>42</v>
      </c>
      <c r="D36" s="16" t="s">
        <v>42</v>
      </c>
      <c r="E36" s="15" t="s">
        <v>41</v>
      </c>
      <c r="F36" s="16" t="s">
        <v>42</v>
      </c>
      <c r="G36" s="16" t="s">
        <v>42</v>
      </c>
      <c r="H36" s="16" t="s">
        <v>42</v>
      </c>
      <c r="I36" s="15" t="s">
        <v>41</v>
      </c>
      <c r="J36" s="15" t="s">
        <v>41</v>
      </c>
      <c r="K36" s="16" t="s">
        <v>42</v>
      </c>
      <c r="L36" s="17" t="s">
        <v>257</v>
      </c>
      <c r="M36" s="18" t="s">
        <v>258</v>
      </c>
      <c r="N36" s="18"/>
      <c r="O36" s="18" t="s">
        <v>259</v>
      </c>
      <c r="P36" s="18" t="s">
        <v>260</v>
      </c>
      <c r="Q36" s="18" t="s">
        <v>261</v>
      </c>
      <c r="R36" s="18"/>
      <c r="S36" s="18" t="s">
        <v>138</v>
      </c>
      <c r="T36" s="18" t="s">
        <v>63</v>
      </c>
      <c r="U36" s="18" t="str">
        <f>"2016"</f>
        <v>2016</v>
      </c>
      <c r="V36" s="18" t="str">
        <f>"+61296997182"</f>
        <v>+61296997182</v>
      </c>
      <c r="W36" s="18" t="str">
        <f>""</f>
        <v/>
      </c>
      <c r="X36" s="26" t="s">
        <v>262</v>
      </c>
      <c r="Y36" s="18"/>
      <c r="Z36" s="18" t="s">
        <v>213</v>
      </c>
      <c r="AA36" s="18">
        <v>11120219561</v>
      </c>
      <c r="AB36" s="18">
        <v>120219561</v>
      </c>
      <c r="AC36" s="18" t="s">
        <v>263</v>
      </c>
    </row>
    <row r="37" spans="1:29" ht="90" customHeight="1" x14ac:dyDescent="0.3">
      <c r="A37" s="16" t="s">
        <v>42</v>
      </c>
      <c r="B37" s="16" t="s">
        <v>42</v>
      </c>
      <c r="C37" s="16" t="s">
        <v>42</v>
      </c>
      <c r="D37" s="16" t="s">
        <v>42</v>
      </c>
      <c r="E37" s="16" t="s">
        <v>42</v>
      </c>
      <c r="F37" s="16" t="s">
        <v>42</v>
      </c>
      <c r="G37" s="16" t="s">
        <v>42</v>
      </c>
      <c r="H37" s="15" t="s">
        <v>41</v>
      </c>
      <c r="I37" s="16" t="s">
        <v>42</v>
      </c>
      <c r="J37" s="16" t="s">
        <v>42</v>
      </c>
      <c r="K37" s="16" t="s">
        <v>42</v>
      </c>
      <c r="L37" s="17" t="s">
        <v>264</v>
      </c>
      <c r="M37" s="18" t="s">
        <v>265</v>
      </c>
      <c r="N37" s="26" t="s">
        <v>266</v>
      </c>
      <c r="O37" s="18" t="s">
        <v>267</v>
      </c>
      <c r="P37" s="18" t="s">
        <v>268</v>
      </c>
      <c r="Q37" s="18" t="s">
        <v>269</v>
      </c>
      <c r="R37" s="18"/>
      <c r="S37" s="18" t="s">
        <v>270</v>
      </c>
      <c r="T37" s="18" t="s">
        <v>63</v>
      </c>
      <c r="U37" s="18" t="str">
        <f>"2487"</f>
        <v>2487</v>
      </c>
      <c r="V37" s="18" t="str">
        <f>"0266745418"</f>
        <v>0266745418</v>
      </c>
      <c r="W37" s="18" t="str">
        <f>""</f>
        <v/>
      </c>
      <c r="X37" s="26" t="s">
        <v>271</v>
      </c>
      <c r="Y37" s="18"/>
      <c r="Z37" s="18" t="s">
        <v>54</v>
      </c>
      <c r="AA37" s="18">
        <v>79676297492</v>
      </c>
      <c r="AB37" s="18"/>
      <c r="AC37" s="18" t="s">
        <v>272</v>
      </c>
    </row>
    <row r="38" spans="1:29" ht="90" customHeight="1" x14ac:dyDescent="0.3">
      <c r="A38" s="16" t="s">
        <v>42</v>
      </c>
      <c r="B38" s="16" t="s">
        <v>42</v>
      </c>
      <c r="C38" s="16" t="s">
        <v>42</v>
      </c>
      <c r="D38" s="16" t="s">
        <v>42</v>
      </c>
      <c r="E38" s="16" t="s">
        <v>42</v>
      </c>
      <c r="F38" s="16" t="s">
        <v>42</v>
      </c>
      <c r="G38" s="16" t="s">
        <v>42</v>
      </c>
      <c r="H38" s="16" t="s">
        <v>42</v>
      </c>
      <c r="I38" s="15" t="s">
        <v>41</v>
      </c>
      <c r="J38" s="16" t="s">
        <v>42</v>
      </c>
      <c r="K38" s="15" t="s">
        <v>41</v>
      </c>
      <c r="L38" s="17" t="s">
        <v>273</v>
      </c>
      <c r="M38" s="18" t="s">
        <v>274</v>
      </c>
      <c r="N38" s="26" t="s">
        <v>275</v>
      </c>
      <c r="O38" s="18" t="s">
        <v>276</v>
      </c>
      <c r="P38" s="18" t="s">
        <v>60</v>
      </c>
      <c r="Q38" s="18" t="s">
        <v>277</v>
      </c>
      <c r="R38" s="18"/>
      <c r="S38" s="18" t="s">
        <v>278</v>
      </c>
      <c r="T38" s="18" t="s">
        <v>63</v>
      </c>
      <c r="U38" s="18" t="str">
        <f>"2065"</f>
        <v>2065</v>
      </c>
      <c r="V38" s="18" t="str">
        <f>"0280317772"</f>
        <v>0280317772</v>
      </c>
      <c r="W38" s="18" t="str">
        <f>"0422957044"</f>
        <v>0422957044</v>
      </c>
      <c r="X38" s="26" t="s">
        <v>279</v>
      </c>
      <c r="Y38" s="18"/>
      <c r="Z38" s="18" t="s">
        <v>54</v>
      </c>
      <c r="AA38" s="18">
        <v>65168126903</v>
      </c>
      <c r="AB38" s="18">
        <v>168126903</v>
      </c>
      <c r="AC38" s="18" t="s">
        <v>280</v>
      </c>
    </row>
    <row r="39" spans="1:29" ht="90" customHeight="1" x14ac:dyDescent="0.3">
      <c r="A39" s="16" t="s">
        <v>42</v>
      </c>
      <c r="B39" s="16" t="s">
        <v>42</v>
      </c>
      <c r="C39" s="16" t="s">
        <v>42</v>
      </c>
      <c r="D39" s="16" t="s">
        <v>42</v>
      </c>
      <c r="E39" s="16" t="s">
        <v>42</v>
      </c>
      <c r="F39" s="16" t="s">
        <v>42</v>
      </c>
      <c r="G39" s="16" t="s">
        <v>42</v>
      </c>
      <c r="H39" s="16" t="s">
        <v>42</v>
      </c>
      <c r="I39" s="16" t="s">
        <v>42</v>
      </c>
      <c r="J39" s="16" t="s">
        <v>42</v>
      </c>
      <c r="K39" s="15" t="s">
        <v>41</v>
      </c>
      <c r="L39" s="17" t="s">
        <v>2103</v>
      </c>
      <c r="M39" s="18" t="s">
        <v>2104</v>
      </c>
      <c r="N39" s="26" t="s">
        <v>2105</v>
      </c>
      <c r="O39" s="18" t="s">
        <v>2106</v>
      </c>
      <c r="P39" s="18" t="s">
        <v>60</v>
      </c>
      <c r="Q39" s="18" t="s">
        <v>320</v>
      </c>
      <c r="R39" s="18" t="s">
        <v>2108</v>
      </c>
      <c r="S39" s="18" t="s">
        <v>90</v>
      </c>
      <c r="T39" s="18" t="s">
        <v>63</v>
      </c>
      <c r="U39" s="18">
        <v>2010</v>
      </c>
      <c r="V39" s="18" t="s">
        <v>2107</v>
      </c>
      <c r="W39" s="18" t="s">
        <v>2107</v>
      </c>
      <c r="X39" s="26" t="s">
        <v>2109</v>
      </c>
      <c r="Y39" s="18"/>
      <c r="Z39" s="18" t="s">
        <v>54</v>
      </c>
      <c r="AA39" s="18">
        <v>61612588977</v>
      </c>
      <c r="AB39" s="18">
        <v>612588977</v>
      </c>
      <c r="AC39" s="18" t="s">
        <v>2110</v>
      </c>
    </row>
    <row r="40" spans="1:29" ht="90" customHeight="1" x14ac:dyDescent="0.3">
      <c r="A40" s="16" t="s">
        <v>42</v>
      </c>
      <c r="B40" s="16" t="s">
        <v>42</v>
      </c>
      <c r="C40" s="16" t="s">
        <v>42</v>
      </c>
      <c r="D40" s="16" t="s">
        <v>42</v>
      </c>
      <c r="E40" s="16" t="s">
        <v>42</v>
      </c>
      <c r="F40" s="16" t="s">
        <v>42</v>
      </c>
      <c r="G40" s="16" t="s">
        <v>42</v>
      </c>
      <c r="H40" s="15" t="s">
        <v>41</v>
      </c>
      <c r="I40" s="16" t="s">
        <v>42</v>
      </c>
      <c r="J40" s="16" t="s">
        <v>42</v>
      </c>
      <c r="K40" s="15" t="s">
        <v>41</v>
      </c>
      <c r="L40" s="17" t="s">
        <v>281</v>
      </c>
      <c r="M40" s="18" t="s">
        <v>282</v>
      </c>
      <c r="N40" s="26" t="s">
        <v>283</v>
      </c>
      <c r="O40" s="18" t="s">
        <v>284</v>
      </c>
      <c r="P40" s="18" t="s">
        <v>60</v>
      </c>
      <c r="Q40" s="18" t="s">
        <v>285</v>
      </c>
      <c r="R40" s="18"/>
      <c r="S40" s="18" t="s">
        <v>83</v>
      </c>
      <c r="T40" s="18" t="s">
        <v>63</v>
      </c>
      <c r="U40" s="18" t="str">
        <f>"2000"</f>
        <v>2000</v>
      </c>
      <c r="V40" s="18" t="str">
        <f>"0290259905"</f>
        <v>0290259905</v>
      </c>
      <c r="W40" s="18" t="str">
        <f>"0423004502"</f>
        <v>0423004502</v>
      </c>
      <c r="X40" s="26" t="s">
        <v>286</v>
      </c>
      <c r="Y40" s="18" t="s">
        <v>287</v>
      </c>
      <c r="Z40" s="18" t="s">
        <v>54</v>
      </c>
      <c r="AA40" s="18">
        <v>74194321852</v>
      </c>
      <c r="AB40" s="18">
        <v>137133932</v>
      </c>
      <c r="AC40" s="18" t="s">
        <v>288</v>
      </c>
    </row>
    <row r="41" spans="1:29" ht="90" customHeight="1" x14ac:dyDescent="0.3">
      <c r="A41" s="16" t="s">
        <v>42</v>
      </c>
      <c r="B41" s="16" t="s">
        <v>42</v>
      </c>
      <c r="C41" s="16" t="s">
        <v>42</v>
      </c>
      <c r="D41" s="16" t="s">
        <v>42</v>
      </c>
      <c r="E41" s="16" t="s">
        <v>42</v>
      </c>
      <c r="F41" s="16" t="s">
        <v>42</v>
      </c>
      <c r="G41" s="16" t="s">
        <v>42</v>
      </c>
      <c r="H41" s="15" t="s">
        <v>41</v>
      </c>
      <c r="I41" s="16" t="s">
        <v>42</v>
      </c>
      <c r="J41" s="16" t="s">
        <v>42</v>
      </c>
      <c r="K41" s="16" t="s">
        <v>42</v>
      </c>
      <c r="L41" s="17" t="s">
        <v>289</v>
      </c>
      <c r="M41" s="18" t="s">
        <v>290</v>
      </c>
      <c r="N41" s="26" t="s">
        <v>291</v>
      </c>
      <c r="O41" s="18" t="s">
        <v>292</v>
      </c>
      <c r="P41" s="18" t="s">
        <v>60</v>
      </c>
      <c r="Q41" s="18" t="s">
        <v>293</v>
      </c>
      <c r="R41" s="18" t="s">
        <v>294</v>
      </c>
      <c r="S41" s="18" t="s">
        <v>295</v>
      </c>
      <c r="T41" s="18" t="s">
        <v>63</v>
      </c>
      <c r="U41" s="18" t="str">
        <f>"2018"</f>
        <v>2018</v>
      </c>
      <c r="V41" s="18" t="str">
        <f>"(02) 9318 9200"</f>
        <v>(02) 9318 9200</v>
      </c>
      <c r="W41" s="18" t="str">
        <f>""</f>
        <v/>
      </c>
      <c r="X41" s="26" t="s">
        <v>296</v>
      </c>
      <c r="Y41" s="18" t="s">
        <v>297</v>
      </c>
      <c r="Z41" s="18" t="s">
        <v>123</v>
      </c>
      <c r="AA41" s="18">
        <v>88081700352</v>
      </c>
      <c r="AB41" s="18">
        <v>81700352</v>
      </c>
      <c r="AC41" s="18" t="s">
        <v>298</v>
      </c>
    </row>
    <row r="42" spans="1:29" ht="90" customHeight="1" x14ac:dyDescent="0.3">
      <c r="A42" s="16" t="s">
        <v>42</v>
      </c>
      <c r="B42" s="16" t="s">
        <v>42</v>
      </c>
      <c r="C42" s="16" t="s">
        <v>42</v>
      </c>
      <c r="D42" s="16" t="s">
        <v>42</v>
      </c>
      <c r="E42" s="16" t="s">
        <v>42</v>
      </c>
      <c r="F42" s="16" t="s">
        <v>42</v>
      </c>
      <c r="G42" s="16" t="s">
        <v>42</v>
      </c>
      <c r="H42" s="15" t="s">
        <v>41</v>
      </c>
      <c r="I42" s="16" t="s">
        <v>42</v>
      </c>
      <c r="J42" s="16" t="s">
        <v>42</v>
      </c>
      <c r="K42" s="16" t="s">
        <v>42</v>
      </c>
      <c r="L42" s="17" t="s">
        <v>299</v>
      </c>
      <c r="M42" s="18" t="s">
        <v>300</v>
      </c>
      <c r="N42" s="26" t="s">
        <v>301</v>
      </c>
      <c r="O42" s="18" t="s">
        <v>302</v>
      </c>
      <c r="P42" s="18" t="s">
        <v>60</v>
      </c>
      <c r="Q42" s="18" t="s">
        <v>303</v>
      </c>
      <c r="R42" s="18" t="s">
        <v>304</v>
      </c>
      <c r="S42" s="18" t="s">
        <v>305</v>
      </c>
      <c r="T42" s="18" t="s">
        <v>306</v>
      </c>
      <c r="U42" s="18">
        <v>5000</v>
      </c>
      <c r="V42" s="30" t="s">
        <v>307</v>
      </c>
      <c r="W42" s="30" t="s">
        <v>307</v>
      </c>
      <c r="X42" s="26" t="s">
        <v>308</v>
      </c>
      <c r="Y42" s="18"/>
      <c r="Z42" s="18" t="s">
        <v>54</v>
      </c>
      <c r="AA42" s="18">
        <v>59638145150</v>
      </c>
      <c r="AB42" s="18">
        <v>638145150</v>
      </c>
      <c r="AC42" s="18" t="s">
        <v>309</v>
      </c>
    </row>
    <row r="43" spans="1:29" ht="90" customHeight="1" x14ac:dyDescent="0.3">
      <c r="A43" s="16" t="s">
        <v>42</v>
      </c>
      <c r="B43" s="16" t="s">
        <v>42</v>
      </c>
      <c r="C43" s="16" t="s">
        <v>42</v>
      </c>
      <c r="D43" s="16" t="s">
        <v>42</v>
      </c>
      <c r="E43" s="16" t="s">
        <v>42</v>
      </c>
      <c r="F43" s="16" t="s">
        <v>42</v>
      </c>
      <c r="G43" s="16" t="s">
        <v>42</v>
      </c>
      <c r="H43" s="15" t="s">
        <v>41</v>
      </c>
      <c r="I43" s="15" t="s">
        <v>41</v>
      </c>
      <c r="J43" s="16" t="s">
        <v>42</v>
      </c>
      <c r="K43" s="15" t="s">
        <v>41</v>
      </c>
      <c r="L43" s="17" t="s">
        <v>310</v>
      </c>
      <c r="M43" s="18" t="s">
        <v>311</v>
      </c>
      <c r="N43" s="26" t="s">
        <v>312</v>
      </c>
      <c r="O43" s="18" t="s">
        <v>313</v>
      </c>
      <c r="P43" s="18" t="s">
        <v>60</v>
      </c>
      <c r="Q43" s="18" t="s">
        <v>2159</v>
      </c>
      <c r="R43" s="18"/>
      <c r="S43" s="18" t="s">
        <v>83</v>
      </c>
      <c r="T43" s="18" t="s">
        <v>63</v>
      </c>
      <c r="U43" s="18" t="str">
        <f>"2000"</f>
        <v>2000</v>
      </c>
      <c r="V43" s="18" t="s">
        <v>2160</v>
      </c>
      <c r="W43" s="18" t="s">
        <v>2161</v>
      </c>
      <c r="X43" s="26" t="s">
        <v>314</v>
      </c>
      <c r="Y43" s="18" t="s">
        <v>310</v>
      </c>
      <c r="Z43" s="18" t="s">
        <v>54</v>
      </c>
      <c r="AA43" s="18">
        <v>20125950816</v>
      </c>
      <c r="AB43" s="18">
        <v>125950816</v>
      </c>
      <c r="AC43" s="18" t="s">
        <v>2175</v>
      </c>
    </row>
    <row r="44" spans="1:29" ht="90" customHeight="1" x14ac:dyDescent="0.3">
      <c r="A44" s="16" t="s">
        <v>42</v>
      </c>
      <c r="B44" s="16" t="s">
        <v>42</v>
      </c>
      <c r="C44" s="16" t="s">
        <v>42</v>
      </c>
      <c r="D44" s="16" t="s">
        <v>42</v>
      </c>
      <c r="E44" s="16" t="s">
        <v>42</v>
      </c>
      <c r="F44" s="16" t="s">
        <v>42</v>
      </c>
      <c r="G44" s="16" t="s">
        <v>42</v>
      </c>
      <c r="H44" s="15" t="s">
        <v>41</v>
      </c>
      <c r="I44" s="16" t="s">
        <v>42</v>
      </c>
      <c r="J44" s="16" t="s">
        <v>42</v>
      </c>
      <c r="K44" s="16" t="s">
        <v>42</v>
      </c>
      <c r="L44" s="17" t="s">
        <v>315</v>
      </c>
      <c r="M44" s="18" t="s">
        <v>316</v>
      </c>
      <c r="N44" s="26" t="s">
        <v>317</v>
      </c>
      <c r="O44" s="18" t="s">
        <v>318</v>
      </c>
      <c r="P44" s="18" t="s">
        <v>319</v>
      </c>
      <c r="Q44" s="18" t="s">
        <v>320</v>
      </c>
      <c r="R44" s="18" t="s">
        <v>321</v>
      </c>
      <c r="S44" s="18" t="s">
        <v>83</v>
      </c>
      <c r="T44" s="18" t="s">
        <v>63</v>
      </c>
      <c r="U44" s="18" t="str">
        <f>"4006"</f>
        <v>4006</v>
      </c>
      <c r="V44" s="18" t="str">
        <f>"02 9261 8333"</f>
        <v>02 9261 8333</v>
      </c>
      <c r="W44" s="18" t="str">
        <f>"0432 684 245"</f>
        <v>0432 684 245</v>
      </c>
      <c r="X44" s="26" t="s">
        <v>322</v>
      </c>
      <c r="Y44" s="18"/>
      <c r="Z44" s="18" t="s">
        <v>123</v>
      </c>
      <c r="AA44" s="18">
        <v>30109225149</v>
      </c>
      <c r="AB44" s="18">
        <v>109225149</v>
      </c>
      <c r="AC44" s="18" t="s">
        <v>323</v>
      </c>
    </row>
    <row r="45" spans="1:29" ht="90" customHeight="1" x14ac:dyDescent="0.3">
      <c r="A45" s="16" t="s">
        <v>42</v>
      </c>
      <c r="B45" s="16" t="s">
        <v>42</v>
      </c>
      <c r="C45" s="16" t="s">
        <v>42</v>
      </c>
      <c r="D45" s="16" t="s">
        <v>42</v>
      </c>
      <c r="E45" s="16" t="s">
        <v>42</v>
      </c>
      <c r="F45" s="16" t="s">
        <v>42</v>
      </c>
      <c r="G45" s="16" t="s">
        <v>42</v>
      </c>
      <c r="H45" s="15" t="s">
        <v>41</v>
      </c>
      <c r="I45" s="15" t="s">
        <v>41</v>
      </c>
      <c r="J45" s="16" t="s">
        <v>42</v>
      </c>
      <c r="K45" s="16" t="s">
        <v>42</v>
      </c>
      <c r="L45" s="17" t="s">
        <v>324</v>
      </c>
      <c r="M45" s="18" t="s">
        <v>325</v>
      </c>
      <c r="N45" s="26" t="s">
        <v>326</v>
      </c>
      <c r="O45" s="18" t="s">
        <v>327</v>
      </c>
      <c r="P45" s="18" t="s">
        <v>60</v>
      </c>
      <c r="Q45" s="18" t="s">
        <v>328</v>
      </c>
      <c r="R45" s="18"/>
      <c r="S45" s="18" t="s">
        <v>130</v>
      </c>
      <c r="T45" s="18" t="s">
        <v>63</v>
      </c>
      <c r="U45" s="18" t="str">
        <f>"2010"</f>
        <v>2010</v>
      </c>
      <c r="V45" s="18" t="str">
        <f>"0280964066"</f>
        <v>0280964066</v>
      </c>
      <c r="W45" s="18" t="str">
        <f>""</f>
        <v/>
      </c>
      <c r="X45" s="26" t="s">
        <v>329</v>
      </c>
      <c r="Y45" s="18"/>
      <c r="Z45" s="18" t="s">
        <v>123</v>
      </c>
      <c r="AA45" s="18">
        <v>36069344038</v>
      </c>
      <c r="AB45" s="18">
        <v>69344038</v>
      </c>
      <c r="AC45" s="18" t="s">
        <v>330</v>
      </c>
    </row>
    <row r="46" spans="1:29" ht="90" customHeight="1" x14ac:dyDescent="0.3">
      <c r="A46" s="16" t="s">
        <v>42</v>
      </c>
      <c r="B46" s="16" t="s">
        <v>42</v>
      </c>
      <c r="C46" s="16" t="s">
        <v>42</v>
      </c>
      <c r="D46" s="16" t="s">
        <v>42</v>
      </c>
      <c r="E46" s="16" t="s">
        <v>42</v>
      </c>
      <c r="F46" s="16" t="s">
        <v>42</v>
      </c>
      <c r="G46" s="16" t="s">
        <v>42</v>
      </c>
      <c r="H46" s="15" t="s">
        <v>41</v>
      </c>
      <c r="I46" s="15" t="s">
        <v>41</v>
      </c>
      <c r="J46" s="15" t="s">
        <v>41</v>
      </c>
      <c r="K46" s="16" t="s">
        <v>42</v>
      </c>
      <c r="L46" s="17" t="s">
        <v>331</v>
      </c>
      <c r="M46" s="18" t="s">
        <v>332</v>
      </c>
      <c r="N46" s="26" t="s">
        <v>333</v>
      </c>
      <c r="O46" s="18" t="s">
        <v>334</v>
      </c>
      <c r="P46" s="18" t="s">
        <v>335</v>
      </c>
      <c r="Q46" s="18" t="s">
        <v>336</v>
      </c>
      <c r="R46" s="18"/>
      <c r="S46" s="18" t="s">
        <v>337</v>
      </c>
      <c r="T46" s="18" t="s">
        <v>338</v>
      </c>
      <c r="U46" s="18" t="str">
        <f>"4000"</f>
        <v>4000</v>
      </c>
      <c r="V46" s="18" t="str">
        <f>"0738312755"</f>
        <v>0738312755</v>
      </c>
      <c r="W46" s="18" t="str">
        <f>""</f>
        <v/>
      </c>
      <c r="X46" s="26" t="s">
        <v>339</v>
      </c>
      <c r="Y46" s="18" t="s">
        <v>340</v>
      </c>
      <c r="Z46" s="18" t="s">
        <v>123</v>
      </c>
      <c r="AA46" s="18">
        <v>11009960838</v>
      </c>
      <c r="AB46" s="18">
        <v>9960838</v>
      </c>
      <c r="AC46" s="18" t="s">
        <v>341</v>
      </c>
    </row>
    <row r="47" spans="1:29" ht="90" customHeight="1" x14ac:dyDescent="0.3">
      <c r="A47" s="16" t="s">
        <v>42</v>
      </c>
      <c r="B47" s="16" t="s">
        <v>42</v>
      </c>
      <c r="C47" s="16" t="s">
        <v>42</v>
      </c>
      <c r="D47" s="16" t="s">
        <v>42</v>
      </c>
      <c r="E47" s="16" t="s">
        <v>42</v>
      </c>
      <c r="F47" s="16" t="s">
        <v>42</v>
      </c>
      <c r="G47" s="16" t="s">
        <v>42</v>
      </c>
      <c r="H47" s="15" t="s">
        <v>41</v>
      </c>
      <c r="I47" s="16" t="s">
        <v>42</v>
      </c>
      <c r="J47" s="16" t="s">
        <v>42</v>
      </c>
      <c r="K47" s="16" t="s">
        <v>42</v>
      </c>
      <c r="L47" s="17" t="s">
        <v>342</v>
      </c>
      <c r="M47" s="18" t="s">
        <v>342</v>
      </c>
      <c r="N47" s="26" t="s">
        <v>343</v>
      </c>
      <c r="O47" s="18" t="s">
        <v>344</v>
      </c>
      <c r="P47" s="18" t="s">
        <v>47</v>
      </c>
      <c r="Q47" s="18" t="s">
        <v>345</v>
      </c>
      <c r="R47" s="18"/>
      <c r="S47" s="18" t="s">
        <v>346</v>
      </c>
      <c r="T47" s="18" t="s">
        <v>63</v>
      </c>
      <c r="U47" s="18" t="str">
        <f>"2065"</f>
        <v>2065</v>
      </c>
      <c r="V47" s="18" t="str">
        <f>"0299065599"</f>
        <v>0299065599</v>
      </c>
      <c r="W47" s="18" t="str">
        <f>"0409119366"</f>
        <v>0409119366</v>
      </c>
      <c r="X47" s="26" t="s">
        <v>347</v>
      </c>
      <c r="Y47" s="18"/>
      <c r="Z47" s="18" t="s">
        <v>54</v>
      </c>
      <c r="AA47" s="18">
        <v>90629752576</v>
      </c>
      <c r="AB47" s="18">
        <v>629752576</v>
      </c>
      <c r="AC47" s="18" t="s">
        <v>2045</v>
      </c>
    </row>
    <row r="48" spans="1:29" ht="90" customHeight="1" x14ac:dyDescent="0.3">
      <c r="A48" s="16" t="s">
        <v>42</v>
      </c>
      <c r="B48" s="16" t="s">
        <v>42</v>
      </c>
      <c r="C48" s="16" t="s">
        <v>42</v>
      </c>
      <c r="D48" s="16" t="s">
        <v>42</v>
      </c>
      <c r="E48" s="16" t="s">
        <v>42</v>
      </c>
      <c r="F48" s="16" t="s">
        <v>42</v>
      </c>
      <c r="G48" s="16" t="s">
        <v>42</v>
      </c>
      <c r="H48" s="15" t="s">
        <v>41</v>
      </c>
      <c r="I48" s="16" t="s">
        <v>42</v>
      </c>
      <c r="J48" s="16" t="s">
        <v>42</v>
      </c>
      <c r="K48" s="15" t="s">
        <v>41</v>
      </c>
      <c r="L48" s="17" t="s">
        <v>348</v>
      </c>
      <c r="M48" s="18" t="s">
        <v>349</v>
      </c>
      <c r="N48" s="18"/>
      <c r="O48" s="18" t="s">
        <v>350</v>
      </c>
      <c r="P48" s="18" t="s">
        <v>60</v>
      </c>
      <c r="Q48" s="18" t="s">
        <v>351</v>
      </c>
      <c r="R48" s="18"/>
      <c r="S48" s="18" t="s">
        <v>73</v>
      </c>
      <c r="T48" s="18" t="s">
        <v>63</v>
      </c>
      <c r="U48" s="18" t="str">
        <f>"2095"</f>
        <v>2095</v>
      </c>
      <c r="V48" s="18" t="str">
        <f>"0421661146"</f>
        <v>0421661146</v>
      </c>
      <c r="W48" s="18" t="str">
        <f>"0421661146"</f>
        <v>0421661146</v>
      </c>
      <c r="X48" s="26" t="s">
        <v>352</v>
      </c>
      <c r="Y48" s="18"/>
      <c r="Z48" s="18" t="s">
        <v>54</v>
      </c>
      <c r="AA48" s="18">
        <v>81601670991</v>
      </c>
      <c r="AB48" s="18">
        <v>601670991</v>
      </c>
      <c r="AC48" s="18" t="s">
        <v>353</v>
      </c>
    </row>
    <row r="49" spans="1:29" ht="90" customHeight="1" x14ac:dyDescent="0.3">
      <c r="A49" s="15" t="s">
        <v>41</v>
      </c>
      <c r="B49" s="16" t="s">
        <v>42</v>
      </c>
      <c r="C49" s="15" t="s">
        <v>41</v>
      </c>
      <c r="D49" s="16" t="s">
        <v>42</v>
      </c>
      <c r="E49" s="16" t="s">
        <v>42</v>
      </c>
      <c r="F49" s="16" t="s">
        <v>42</v>
      </c>
      <c r="G49" s="16" t="s">
        <v>42</v>
      </c>
      <c r="H49" s="15" t="s">
        <v>41</v>
      </c>
      <c r="I49" s="16" t="s">
        <v>42</v>
      </c>
      <c r="J49" s="16" t="s">
        <v>42</v>
      </c>
      <c r="K49" s="16" t="s">
        <v>42</v>
      </c>
      <c r="L49" s="17" t="s">
        <v>354</v>
      </c>
      <c r="M49" s="18" t="s">
        <v>355</v>
      </c>
      <c r="N49" s="26" t="s">
        <v>356</v>
      </c>
      <c r="O49" s="18" t="s">
        <v>357</v>
      </c>
      <c r="P49" s="18" t="s">
        <v>358</v>
      </c>
      <c r="Q49" s="18" t="s">
        <v>359</v>
      </c>
      <c r="R49" s="18" t="s">
        <v>360</v>
      </c>
      <c r="S49" s="18" t="s">
        <v>130</v>
      </c>
      <c r="T49" s="18" t="s">
        <v>63</v>
      </c>
      <c r="U49" s="18" t="str">
        <f>"2037"</f>
        <v>2037</v>
      </c>
      <c r="V49" s="18" t="str">
        <f>"02 82317100"</f>
        <v>02 82317100</v>
      </c>
      <c r="W49" s="18" t="str">
        <f>"0414 322987"</f>
        <v>0414 322987</v>
      </c>
      <c r="X49" s="26" t="s">
        <v>361</v>
      </c>
      <c r="Y49" s="18" t="s">
        <v>362</v>
      </c>
      <c r="Z49" s="18" t="s">
        <v>123</v>
      </c>
      <c r="AA49" s="18">
        <v>52912230391</v>
      </c>
      <c r="AB49" s="18">
        <v>2513153</v>
      </c>
      <c r="AC49" s="18" t="s">
        <v>363</v>
      </c>
    </row>
    <row r="50" spans="1:29" ht="90" customHeight="1" x14ac:dyDescent="0.3">
      <c r="A50" s="16" t="s">
        <v>42</v>
      </c>
      <c r="B50" s="16" t="s">
        <v>42</v>
      </c>
      <c r="C50" s="16" t="s">
        <v>42</v>
      </c>
      <c r="D50" s="16" t="s">
        <v>42</v>
      </c>
      <c r="E50" s="16" t="s">
        <v>42</v>
      </c>
      <c r="F50" s="16" t="s">
        <v>42</v>
      </c>
      <c r="G50" s="16" t="s">
        <v>42</v>
      </c>
      <c r="H50" s="16" t="s">
        <v>42</v>
      </c>
      <c r="I50" s="16" t="s">
        <v>42</v>
      </c>
      <c r="J50" s="16" t="s">
        <v>42</v>
      </c>
      <c r="K50" s="15" t="s">
        <v>41</v>
      </c>
      <c r="L50" s="17" t="s">
        <v>364</v>
      </c>
      <c r="M50" s="18" t="s">
        <v>365</v>
      </c>
      <c r="N50" s="26" t="s">
        <v>366</v>
      </c>
      <c r="O50" s="18" t="s">
        <v>367</v>
      </c>
      <c r="P50" s="18" t="s">
        <v>60</v>
      </c>
      <c r="Q50" s="18" t="s">
        <v>368</v>
      </c>
      <c r="R50" s="18"/>
      <c r="S50" s="18" t="s">
        <v>73</v>
      </c>
      <c r="T50" s="18" t="s">
        <v>63</v>
      </c>
      <c r="U50" s="18" t="str">
        <f>"2095"</f>
        <v>2095</v>
      </c>
      <c r="V50" s="18" t="str">
        <f>"0422 567 134"</f>
        <v>0422 567 134</v>
      </c>
      <c r="W50" s="18" t="str">
        <f>"0422 567 134"</f>
        <v>0422 567 134</v>
      </c>
      <c r="X50" s="26" t="s">
        <v>369</v>
      </c>
      <c r="Y50" s="18"/>
      <c r="Z50" s="18" t="s">
        <v>54</v>
      </c>
      <c r="AA50" s="18">
        <v>86106604025</v>
      </c>
      <c r="AB50" s="18"/>
      <c r="AC50" s="18" t="s">
        <v>370</v>
      </c>
    </row>
    <row r="51" spans="1:29" ht="90" customHeight="1" x14ac:dyDescent="0.3">
      <c r="A51" s="16" t="s">
        <v>42</v>
      </c>
      <c r="B51" s="16" t="s">
        <v>42</v>
      </c>
      <c r="C51" s="16" t="s">
        <v>42</v>
      </c>
      <c r="D51" s="16" t="s">
        <v>42</v>
      </c>
      <c r="E51" s="16" t="s">
        <v>42</v>
      </c>
      <c r="F51" s="16" t="s">
        <v>42</v>
      </c>
      <c r="G51" s="16" t="s">
        <v>42</v>
      </c>
      <c r="H51" s="15" t="s">
        <v>41</v>
      </c>
      <c r="I51" s="16" t="s">
        <v>42</v>
      </c>
      <c r="J51" s="16" t="s">
        <v>42</v>
      </c>
      <c r="K51" s="16" t="s">
        <v>42</v>
      </c>
      <c r="L51" s="17" t="s">
        <v>371</v>
      </c>
      <c r="M51" s="18" t="s">
        <v>372</v>
      </c>
      <c r="N51" s="26" t="s">
        <v>373</v>
      </c>
      <c r="O51" s="18" t="s">
        <v>374</v>
      </c>
      <c r="P51" s="18" t="s">
        <v>189</v>
      </c>
      <c r="Q51" s="18" t="s">
        <v>375</v>
      </c>
      <c r="R51" s="18"/>
      <c r="S51" s="18" t="s">
        <v>83</v>
      </c>
      <c r="T51" s="18" t="s">
        <v>63</v>
      </c>
      <c r="U51" s="18" t="str">
        <f>"2000"</f>
        <v>2000</v>
      </c>
      <c r="V51" s="18" t="str">
        <f>"0282977200"</f>
        <v>0282977200</v>
      </c>
      <c r="W51" s="18" t="str">
        <f>"0408 182 556"</f>
        <v>0408 182 556</v>
      </c>
      <c r="X51" s="26" t="s">
        <v>376</v>
      </c>
      <c r="Y51" s="18" t="s">
        <v>371</v>
      </c>
      <c r="Z51" s="18" t="s">
        <v>85</v>
      </c>
      <c r="AA51" s="18">
        <v>46010724339</v>
      </c>
      <c r="AB51" s="18">
        <v>10724339</v>
      </c>
      <c r="AC51" s="18" t="s">
        <v>377</v>
      </c>
    </row>
    <row r="52" spans="1:29" ht="90" customHeight="1" x14ac:dyDescent="0.3">
      <c r="A52" s="16" t="s">
        <v>42</v>
      </c>
      <c r="B52" s="16" t="s">
        <v>42</v>
      </c>
      <c r="C52" s="16" t="s">
        <v>42</v>
      </c>
      <c r="D52" s="16" t="s">
        <v>42</v>
      </c>
      <c r="E52" s="16" t="s">
        <v>42</v>
      </c>
      <c r="F52" s="16" t="s">
        <v>42</v>
      </c>
      <c r="G52" s="16" t="s">
        <v>42</v>
      </c>
      <c r="H52" s="15" t="s">
        <v>41</v>
      </c>
      <c r="I52" s="16" t="s">
        <v>42</v>
      </c>
      <c r="J52" s="16" t="s">
        <v>42</v>
      </c>
      <c r="K52" s="16" t="s">
        <v>42</v>
      </c>
      <c r="L52" s="17" t="s">
        <v>378</v>
      </c>
      <c r="M52" s="18" t="s">
        <v>378</v>
      </c>
      <c r="N52" s="26" t="s">
        <v>379</v>
      </c>
      <c r="O52" s="18" t="s">
        <v>380</v>
      </c>
      <c r="P52" s="18" t="s">
        <v>60</v>
      </c>
      <c r="Q52" s="18" t="s">
        <v>381</v>
      </c>
      <c r="R52" s="18"/>
      <c r="S52" s="18" t="s">
        <v>382</v>
      </c>
      <c r="T52" s="18" t="s">
        <v>63</v>
      </c>
      <c r="U52" s="18" t="str">
        <f>"2681"</f>
        <v>2681</v>
      </c>
      <c r="V52" s="18" t="str">
        <f>"0428860692"</f>
        <v>0428860692</v>
      </c>
      <c r="W52" s="18" t="str">
        <f>"0428860692"</f>
        <v>0428860692</v>
      </c>
      <c r="X52" s="26" t="s">
        <v>383</v>
      </c>
      <c r="Y52" s="18" t="s">
        <v>384</v>
      </c>
      <c r="Z52" s="18" t="s">
        <v>54</v>
      </c>
      <c r="AA52" s="18">
        <v>50110660985</v>
      </c>
      <c r="AB52" s="18">
        <v>110660985</v>
      </c>
      <c r="AC52" s="18" t="s">
        <v>385</v>
      </c>
    </row>
    <row r="53" spans="1:29" ht="90" customHeight="1" x14ac:dyDescent="0.3">
      <c r="A53" s="15" t="s">
        <v>41</v>
      </c>
      <c r="B53" s="15" t="s">
        <v>41</v>
      </c>
      <c r="C53" s="15" t="s">
        <v>41</v>
      </c>
      <c r="D53" s="15" t="s">
        <v>41</v>
      </c>
      <c r="E53" s="15" t="s">
        <v>41</v>
      </c>
      <c r="F53" s="16" t="s">
        <v>42</v>
      </c>
      <c r="G53" s="16" t="s">
        <v>42</v>
      </c>
      <c r="H53" s="16" t="s">
        <v>42</v>
      </c>
      <c r="I53" s="16" t="s">
        <v>42</v>
      </c>
      <c r="J53" s="16" t="s">
        <v>42</v>
      </c>
      <c r="K53" s="16" t="s">
        <v>42</v>
      </c>
      <c r="L53" s="17" t="s">
        <v>386</v>
      </c>
      <c r="M53" s="18" t="s">
        <v>387</v>
      </c>
      <c r="N53" s="26" t="s">
        <v>388</v>
      </c>
      <c r="O53" s="18" t="s">
        <v>389</v>
      </c>
      <c r="P53" s="18" t="s">
        <v>390</v>
      </c>
      <c r="Q53" s="18" t="s">
        <v>391</v>
      </c>
      <c r="R53" s="18"/>
      <c r="S53" s="18" t="s">
        <v>392</v>
      </c>
      <c r="T53" s="18" t="s">
        <v>63</v>
      </c>
      <c r="U53" s="18" t="str">
        <f>"2060"</f>
        <v>2060</v>
      </c>
      <c r="V53" s="18" t="str">
        <f>"0299592608"</f>
        <v>0299592608</v>
      </c>
      <c r="W53" s="18" t="str">
        <f>"0417697218"</f>
        <v>0417697218</v>
      </c>
      <c r="X53" s="26" t="s">
        <v>393</v>
      </c>
      <c r="Y53" s="18" t="s">
        <v>394</v>
      </c>
      <c r="Z53" s="18" t="s">
        <v>123</v>
      </c>
      <c r="AA53" s="18">
        <v>76056297100</v>
      </c>
      <c r="AB53" s="18">
        <v>56297100</v>
      </c>
      <c r="AC53" s="18" t="s">
        <v>395</v>
      </c>
    </row>
    <row r="54" spans="1:29" ht="90" customHeight="1" x14ac:dyDescent="0.3">
      <c r="A54" s="16" t="s">
        <v>42</v>
      </c>
      <c r="B54" s="16" t="s">
        <v>42</v>
      </c>
      <c r="C54" s="16" t="s">
        <v>42</v>
      </c>
      <c r="D54" s="16" t="s">
        <v>42</v>
      </c>
      <c r="E54" s="16" t="s">
        <v>42</v>
      </c>
      <c r="F54" s="16" t="s">
        <v>42</v>
      </c>
      <c r="G54" s="16" t="s">
        <v>42</v>
      </c>
      <c r="H54" s="15" t="s">
        <v>41</v>
      </c>
      <c r="I54" s="16" t="s">
        <v>42</v>
      </c>
      <c r="J54" s="16" t="s">
        <v>42</v>
      </c>
      <c r="K54" s="15" t="s">
        <v>41</v>
      </c>
      <c r="L54" s="17" t="s">
        <v>396</v>
      </c>
      <c r="M54" s="18" t="s">
        <v>397</v>
      </c>
      <c r="N54" s="26" t="s">
        <v>398</v>
      </c>
      <c r="O54" s="18" t="s">
        <v>399</v>
      </c>
      <c r="P54" s="18" t="s">
        <v>400</v>
      </c>
      <c r="Q54" s="18" t="s">
        <v>401</v>
      </c>
      <c r="R54" s="18"/>
      <c r="S54" s="18" t="s">
        <v>402</v>
      </c>
      <c r="T54" s="18" t="s">
        <v>63</v>
      </c>
      <c r="U54" s="18" t="str">
        <f>"2130"</f>
        <v>2130</v>
      </c>
      <c r="V54" s="18" t="str">
        <f>"02 9799 4472"</f>
        <v>02 9799 4472</v>
      </c>
      <c r="W54" s="18" t="str">
        <f>"0421997223"</f>
        <v>0421997223</v>
      </c>
      <c r="X54" s="26" t="s">
        <v>403</v>
      </c>
      <c r="Y54" s="18" t="s">
        <v>404</v>
      </c>
      <c r="Z54" s="18" t="s">
        <v>54</v>
      </c>
      <c r="AA54" s="18">
        <v>15833977048</v>
      </c>
      <c r="AB54" s="18">
        <v>600043169</v>
      </c>
      <c r="AC54" s="18" t="s">
        <v>405</v>
      </c>
    </row>
    <row r="55" spans="1:29" ht="90" customHeight="1" x14ac:dyDescent="0.3">
      <c r="A55" s="16" t="s">
        <v>42</v>
      </c>
      <c r="B55" s="16" t="s">
        <v>42</v>
      </c>
      <c r="C55" s="16" t="s">
        <v>42</v>
      </c>
      <c r="D55" s="16" t="s">
        <v>42</v>
      </c>
      <c r="E55" s="16" t="s">
        <v>42</v>
      </c>
      <c r="F55" s="16" t="s">
        <v>42</v>
      </c>
      <c r="G55" s="16" t="s">
        <v>42</v>
      </c>
      <c r="H55" s="15" t="s">
        <v>41</v>
      </c>
      <c r="I55" s="16" t="s">
        <v>42</v>
      </c>
      <c r="J55" s="16" t="s">
        <v>42</v>
      </c>
      <c r="K55" s="15" t="s">
        <v>41</v>
      </c>
      <c r="L55" s="17" t="s">
        <v>406</v>
      </c>
      <c r="M55" s="18" t="s">
        <v>407</v>
      </c>
      <c r="N55" s="26" t="s">
        <v>408</v>
      </c>
      <c r="O55" s="18" t="s">
        <v>409</v>
      </c>
      <c r="P55" s="18" t="s">
        <v>189</v>
      </c>
      <c r="Q55" s="18">
        <v>183</v>
      </c>
      <c r="R55" s="18" t="s">
        <v>410</v>
      </c>
      <c r="S55" s="18" t="s">
        <v>411</v>
      </c>
      <c r="T55" s="18" t="s">
        <v>63</v>
      </c>
      <c r="U55" s="18" t="str">
        <f>"2105"</f>
        <v>2105</v>
      </c>
      <c r="V55" s="18" t="str">
        <f>"0410570122"</f>
        <v>0410570122</v>
      </c>
      <c r="W55" s="18" t="str">
        <f>"0410570122"</f>
        <v>0410570122</v>
      </c>
      <c r="X55" s="26" t="s">
        <v>412</v>
      </c>
      <c r="Y55" s="18"/>
      <c r="Z55" s="18" t="s">
        <v>54</v>
      </c>
      <c r="AA55" s="18">
        <v>83584368542</v>
      </c>
      <c r="AB55" s="18"/>
      <c r="AC55" s="18" t="s">
        <v>413</v>
      </c>
    </row>
    <row r="56" spans="1:29" ht="90" customHeight="1" x14ac:dyDescent="0.3">
      <c r="A56" s="16" t="s">
        <v>42</v>
      </c>
      <c r="B56" s="16" t="s">
        <v>42</v>
      </c>
      <c r="C56" s="16" t="s">
        <v>42</v>
      </c>
      <c r="D56" s="16" t="s">
        <v>42</v>
      </c>
      <c r="E56" s="16" t="s">
        <v>42</v>
      </c>
      <c r="F56" s="16" t="s">
        <v>42</v>
      </c>
      <c r="G56" s="16" t="s">
        <v>42</v>
      </c>
      <c r="H56" s="15" t="s">
        <v>41</v>
      </c>
      <c r="I56" s="16" t="s">
        <v>42</v>
      </c>
      <c r="J56" s="16" t="s">
        <v>42</v>
      </c>
      <c r="K56" s="16" t="s">
        <v>42</v>
      </c>
      <c r="L56" s="17" t="s">
        <v>414</v>
      </c>
      <c r="M56" s="18" t="s">
        <v>415</v>
      </c>
      <c r="N56" s="26" t="s">
        <v>416</v>
      </c>
      <c r="O56" s="18" t="s">
        <v>417</v>
      </c>
      <c r="P56" s="18" t="s">
        <v>358</v>
      </c>
      <c r="Q56" s="18" t="s">
        <v>418</v>
      </c>
      <c r="R56" s="18" t="s">
        <v>419</v>
      </c>
      <c r="S56" s="18" t="s">
        <v>83</v>
      </c>
      <c r="T56" s="18" t="s">
        <v>63</v>
      </c>
      <c r="U56" s="18" t="str">
        <f>"2000"</f>
        <v>2000</v>
      </c>
      <c r="V56" s="18" t="str">
        <f>"0292672000"</f>
        <v>0292672000</v>
      </c>
      <c r="W56" s="18" t="str">
        <f>"0406780135"</f>
        <v>0406780135</v>
      </c>
      <c r="X56" s="26" t="s">
        <v>420</v>
      </c>
      <c r="Y56" s="18" t="s">
        <v>421</v>
      </c>
      <c r="Z56" s="18" t="s">
        <v>123</v>
      </c>
      <c r="AA56" s="18">
        <v>79097830754</v>
      </c>
      <c r="AB56" s="18"/>
      <c r="AC56" s="18" t="s">
        <v>422</v>
      </c>
    </row>
    <row r="57" spans="1:29" ht="90" customHeight="1" x14ac:dyDescent="0.3">
      <c r="A57" s="16" t="s">
        <v>42</v>
      </c>
      <c r="B57" s="16" t="s">
        <v>42</v>
      </c>
      <c r="C57" s="16" t="s">
        <v>42</v>
      </c>
      <c r="D57" s="16" t="s">
        <v>42</v>
      </c>
      <c r="E57" s="16" t="s">
        <v>42</v>
      </c>
      <c r="F57" s="16" t="s">
        <v>42</v>
      </c>
      <c r="G57" s="16" t="s">
        <v>42</v>
      </c>
      <c r="H57" s="15" t="s">
        <v>41</v>
      </c>
      <c r="I57" s="16" t="s">
        <v>42</v>
      </c>
      <c r="J57" s="16" t="s">
        <v>42</v>
      </c>
      <c r="K57" s="16" t="s">
        <v>42</v>
      </c>
      <c r="L57" s="17" t="s">
        <v>423</v>
      </c>
      <c r="M57" s="18" t="s">
        <v>424</v>
      </c>
      <c r="N57" s="26" t="s">
        <v>425</v>
      </c>
      <c r="O57" s="18" t="s">
        <v>426</v>
      </c>
      <c r="P57" s="18" t="s">
        <v>60</v>
      </c>
      <c r="Q57" s="18" t="s">
        <v>427</v>
      </c>
      <c r="R57" s="18"/>
      <c r="S57" s="18" t="s">
        <v>130</v>
      </c>
      <c r="T57" s="18" t="s">
        <v>63</v>
      </c>
      <c r="U57" s="18" t="str">
        <f>"2010"</f>
        <v>2010</v>
      </c>
      <c r="V57" s="18" t="str">
        <f>"02 93574333"</f>
        <v>02 93574333</v>
      </c>
      <c r="W57" s="18" t="str">
        <f>""</f>
        <v/>
      </c>
      <c r="X57" s="26" t="s">
        <v>428</v>
      </c>
      <c r="Y57" s="18" t="s">
        <v>423</v>
      </c>
      <c r="Z57" s="18" t="s">
        <v>54</v>
      </c>
      <c r="AA57" s="18">
        <v>62114930933</v>
      </c>
      <c r="AB57" s="18"/>
      <c r="AC57" s="18" t="s">
        <v>429</v>
      </c>
    </row>
    <row r="58" spans="1:29" ht="90" customHeight="1" x14ac:dyDescent="0.3">
      <c r="A58" s="16" t="s">
        <v>42</v>
      </c>
      <c r="B58" s="16" t="s">
        <v>42</v>
      </c>
      <c r="C58" s="16" t="s">
        <v>42</v>
      </c>
      <c r="D58" s="16" t="s">
        <v>42</v>
      </c>
      <c r="E58" s="16" t="s">
        <v>42</v>
      </c>
      <c r="F58" s="16" t="s">
        <v>42</v>
      </c>
      <c r="G58" s="16" t="s">
        <v>42</v>
      </c>
      <c r="H58" s="15" t="s">
        <v>41</v>
      </c>
      <c r="I58" s="16" t="s">
        <v>42</v>
      </c>
      <c r="J58" s="16" t="s">
        <v>42</v>
      </c>
      <c r="K58" s="16" t="s">
        <v>42</v>
      </c>
      <c r="L58" s="17" t="s">
        <v>430</v>
      </c>
      <c r="M58" s="18" t="s">
        <v>431</v>
      </c>
      <c r="N58" s="18"/>
      <c r="O58" s="18" t="s">
        <v>432</v>
      </c>
      <c r="P58" s="18" t="s">
        <v>189</v>
      </c>
      <c r="Q58" s="18" t="s">
        <v>433</v>
      </c>
      <c r="R58" s="18"/>
      <c r="S58" s="18" t="s">
        <v>434</v>
      </c>
      <c r="T58" s="18" t="s">
        <v>63</v>
      </c>
      <c r="U58" s="18" t="str">
        <f>"2780"</f>
        <v>2780</v>
      </c>
      <c r="V58" s="18" t="str">
        <f>"02 4784 3250"</f>
        <v>02 4784 3250</v>
      </c>
      <c r="W58" s="18" t="str">
        <f>"0427375260"</f>
        <v>0427375260</v>
      </c>
      <c r="X58" s="26" t="s">
        <v>435</v>
      </c>
      <c r="Y58" s="18"/>
      <c r="Z58" s="18" t="s">
        <v>54</v>
      </c>
      <c r="AA58" s="18">
        <v>76046483933</v>
      </c>
      <c r="AB58" s="18"/>
      <c r="AC58" s="18" t="s">
        <v>436</v>
      </c>
    </row>
    <row r="59" spans="1:29" ht="90" customHeight="1" x14ac:dyDescent="0.3">
      <c r="A59" s="16" t="s">
        <v>42</v>
      </c>
      <c r="B59" s="16" t="s">
        <v>42</v>
      </c>
      <c r="C59" s="16" t="s">
        <v>42</v>
      </c>
      <c r="D59" s="16" t="s">
        <v>42</v>
      </c>
      <c r="E59" s="16" t="s">
        <v>42</v>
      </c>
      <c r="F59" s="16" t="s">
        <v>42</v>
      </c>
      <c r="G59" s="16" t="s">
        <v>42</v>
      </c>
      <c r="H59" s="15" t="s">
        <v>41</v>
      </c>
      <c r="I59" s="15" t="s">
        <v>41</v>
      </c>
      <c r="J59" s="16" t="s">
        <v>42</v>
      </c>
      <c r="K59" s="16" t="s">
        <v>42</v>
      </c>
      <c r="L59" s="17" t="s">
        <v>437</v>
      </c>
      <c r="M59" s="18" t="s">
        <v>438</v>
      </c>
      <c r="N59" s="26" t="s">
        <v>439</v>
      </c>
      <c r="O59" s="18" t="s">
        <v>440</v>
      </c>
      <c r="P59" s="18" t="s">
        <v>60</v>
      </c>
      <c r="Q59" s="18" t="s">
        <v>441</v>
      </c>
      <c r="R59" s="18"/>
      <c r="S59" s="18" t="s">
        <v>73</v>
      </c>
      <c r="T59" s="18" t="s">
        <v>63</v>
      </c>
      <c r="U59" s="18" t="str">
        <f>"2095"</f>
        <v>2095</v>
      </c>
      <c r="V59" s="18" t="str">
        <f>"0280968500"</f>
        <v>0280968500</v>
      </c>
      <c r="W59" s="18" t="str">
        <f>"0414668363"</f>
        <v>0414668363</v>
      </c>
      <c r="X59" s="26" t="s">
        <v>442</v>
      </c>
      <c r="Y59" s="18" t="s">
        <v>437</v>
      </c>
      <c r="Z59" s="18" t="s">
        <v>123</v>
      </c>
      <c r="AA59" s="18">
        <v>22365257187</v>
      </c>
      <c r="AB59" s="18">
        <v>144714885</v>
      </c>
      <c r="AC59" s="18" t="s">
        <v>443</v>
      </c>
    </row>
    <row r="60" spans="1:29" ht="90" customHeight="1" x14ac:dyDescent="0.3">
      <c r="A60" s="15" t="s">
        <v>41</v>
      </c>
      <c r="B60" s="16" t="s">
        <v>42</v>
      </c>
      <c r="C60" s="16" t="s">
        <v>42</v>
      </c>
      <c r="D60" s="16" t="s">
        <v>42</v>
      </c>
      <c r="E60" s="15" t="s">
        <v>41</v>
      </c>
      <c r="F60" s="16" t="s">
        <v>42</v>
      </c>
      <c r="G60" s="16" t="s">
        <v>42</v>
      </c>
      <c r="H60" s="16" t="s">
        <v>42</v>
      </c>
      <c r="I60" s="16" t="s">
        <v>42</v>
      </c>
      <c r="J60" s="16" t="s">
        <v>42</v>
      </c>
      <c r="K60" s="16" t="s">
        <v>42</v>
      </c>
      <c r="L60" s="17" t="s">
        <v>444</v>
      </c>
      <c r="M60" s="18" t="s">
        <v>445</v>
      </c>
      <c r="N60" s="26" t="s">
        <v>446</v>
      </c>
      <c r="O60" s="18" t="s">
        <v>447</v>
      </c>
      <c r="P60" s="18" t="s">
        <v>60</v>
      </c>
      <c r="Q60" s="18" t="s">
        <v>448</v>
      </c>
      <c r="R60" s="18"/>
      <c r="S60" s="18" t="s">
        <v>449</v>
      </c>
      <c r="T60" s="18" t="s">
        <v>63</v>
      </c>
      <c r="U60" s="18" t="str">
        <f>"2024"</f>
        <v>2024</v>
      </c>
      <c r="V60" s="18" t="str">
        <f>"+61423172818"</f>
        <v>+61423172818</v>
      </c>
      <c r="W60" s="18" t="str">
        <f>"+61423172818"</f>
        <v>+61423172818</v>
      </c>
      <c r="X60" s="26" t="s">
        <v>450</v>
      </c>
      <c r="Y60" s="18"/>
      <c r="Z60" s="18" t="s">
        <v>54</v>
      </c>
      <c r="AA60" s="18">
        <v>38623211058</v>
      </c>
      <c r="AB60" s="18">
        <v>623211058</v>
      </c>
      <c r="AC60" s="18" t="s">
        <v>451</v>
      </c>
    </row>
    <row r="61" spans="1:29" ht="90" customHeight="1" x14ac:dyDescent="0.3">
      <c r="A61" s="15" t="s">
        <v>41</v>
      </c>
      <c r="B61" s="15" t="s">
        <v>41</v>
      </c>
      <c r="C61" s="16" t="s">
        <v>42</v>
      </c>
      <c r="D61" s="16" t="s">
        <v>42</v>
      </c>
      <c r="E61" s="15" t="s">
        <v>41</v>
      </c>
      <c r="F61" s="15" t="s">
        <v>41</v>
      </c>
      <c r="G61" s="16" t="s">
        <v>42</v>
      </c>
      <c r="H61" s="16" t="s">
        <v>42</v>
      </c>
      <c r="I61" s="16" t="s">
        <v>42</v>
      </c>
      <c r="J61" s="16" t="s">
        <v>42</v>
      </c>
      <c r="K61" s="16" t="s">
        <v>42</v>
      </c>
      <c r="L61" s="17" t="s">
        <v>452</v>
      </c>
      <c r="M61" s="18" t="s">
        <v>453</v>
      </c>
      <c r="N61" s="26" t="s">
        <v>454</v>
      </c>
      <c r="O61" s="18" t="s">
        <v>455</v>
      </c>
      <c r="P61" s="18" t="s">
        <v>456</v>
      </c>
      <c r="Q61" s="18" t="s">
        <v>457</v>
      </c>
      <c r="R61" s="18"/>
      <c r="S61" s="18" t="s">
        <v>83</v>
      </c>
      <c r="T61" s="18" t="s">
        <v>63</v>
      </c>
      <c r="U61" s="18" t="str">
        <f>"2000"</f>
        <v>2000</v>
      </c>
      <c r="V61" s="18" t="str">
        <f>"(02) 8270 3500"</f>
        <v>(02) 8270 3500</v>
      </c>
      <c r="W61" s="18" t="str">
        <f>""</f>
        <v/>
      </c>
      <c r="X61" s="26" t="s">
        <v>458</v>
      </c>
      <c r="Y61" s="18"/>
      <c r="Z61" s="18" t="s">
        <v>123</v>
      </c>
      <c r="AA61" s="18">
        <v>58133501774</v>
      </c>
      <c r="AB61" s="18">
        <v>133501774</v>
      </c>
      <c r="AC61" s="18" t="s">
        <v>459</v>
      </c>
    </row>
    <row r="62" spans="1:29" ht="90" customHeight="1" x14ac:dyDescent="0.3">
      <c r="A62" s="15" t="s">
        <v>41</v>
      </c>
      <c r="B62" s="15" t="s">
        <v>41</v>
      </c>
      <c r="C62" s="16" t="s">
        <v>42</v>
      </c>
      <c r="D62" s="16" t="s">
        <v>42</v>
      </c>
      <c r="E62" s="16" t="s">
        <v>42</v>
      </c>
      <c r="F62" s="16" t="s">
        <v>42</v>
      </c>
      <c r="G62" s="16" t="s">
        <v>42</v>
      </c>
      <c r="H62" s="16" t="s">
        <v>42</v>
      </c>
      <c r="I62" s="16" t="s">
        <v>42</v>
      </c>
      <c r="J62" s="16" t="s">
        <v>42</v>
      </c>
      <c r="K62" s="16" t="s">
        <v>42</v>
      </c>
      <c r="L62" s="17" t="s">
        <v>460</v>
      </c>
      <c r="M62" s="18" t="s">
        <v>461</v>
      </c>
      <c r="N62" s="26" t="s">
        <v>462</v>
      </c>
      <c r="O62" s="18" t="s">
        <v>463</v>
      </c>
      <c r="P62" s="18" t="s">
        <v>60</v>
      </c>
      <c r="Q62" s="18" t="s">
        <v>464</v>
      </c>
      <c r="R62" s="18"/>
      <c r="S62" s="18" t="s">
        <v>107</v>
      </c>
      <c r="T62" s="18" t="s">
        <v>63</v>
      </c>
      <c r="U62" s="18" t="str">
        <f>"2011"</f>
        <v>2011</v>
      </c>
      <c r="V62" s="18" t="str">
        <f>"+61422758490"</f>
        <v>+61422758490</v>
      </c>
      <c r="W62" s="18" t="str">
        <f>"+61422758490"</f>
        <v>+61422758490</v>
      </c>
      <c r="X62" s="26" t="s">
        <v>465</v>
      </c>
      <c r="Y62" s="18" t="s">
        <v>466</v>
      </c>
      <c r="Z62" s="18" t="s">
        <v>54</v>
      </c>
      <c r="AA62" s="18">
        <v>73611554511</v>
      </c>
      <c r="AB62" s="18">
        <v>611554511</v>
      </c>
      <c r="AC62" s="18" t="s">
        <v>467</v>
      </c>
    </row>
    <row r="63" spans="1:29" ht="90" customHeight="1" x14ac:dyDescent="0.3">
      <c r="A63" s="16" t="s">
        <v>42</v>
      </c>
      <c r="B63" s="16" t="s">
        <v>42</v>
      </c>
      <c r="C63" s="16" t="s">
        <v>42</v>
      </c>
      <c r="D63" s="16" t="s">
        <v>42</v>
      </c>
      <c r="E63" s="16" t="s">
        <v>42</v>
      </c>
      <c r="F63" s="16" t="s">
        <v>42</v>
      </c>
      <c r="G63" s="16" t="s">
        <v>42</v>
      </c>
      <c r="H63" s="16" t="s">
        <v>42</v>
      </c>
      <c r="I63" s="15" t="s">
        <v>41</v>
      </c>
      <c r="J63" s="15" t="s">
        <v>41</v>
      </c>
      <c r="K63" s="16" t="s">
        <v>42</v>
      </c>
      <c r="L63" s="17" t="s">
        <v>468</v>
      </c>
      <c r="M63" s="18" t="s">
        <v>469</v>
      </c>
      <c r="N63" s="26" t="s">
        <v>470</v>
      </c>
      <c r="O63" s="18" t="s">
        <v>471</v>
      </c>
      <c r="P63" s="18" t="s">
        <v>60</v>
      </c>
      <c r="Q63" s="18" t="s">
        <v>472</v>
      </c>
      <c r="R63" s="18"/>
      <c r="S63" s="18" t="s">
        <v>473</v>
      </c>
      <c r="T63" s="18" t="s">
        <v>63</v>
      </c>
      <c r="U63" s="18" t="str">
        <f>"2000"</f>
        <v>2000</v>
      </c>
      <c r="V63" s="18" t="str">
        <f>"0282724999"</f>
        <v>0282724999</v>
      </c>
      <c r="W63" s="18" t="str">
        <f>""</f>
        <v/>
      </c>
      <c r="X63" s="26" t="s">
        <v>474</v>
      </c>
      <c r="Y63" s="18" t="s">
        <v>475</v>
      </c>
      <c r="Z63" s="18" t="s">
        <v>123</v>
      </c>
      <c r="AA63" s="18">
        <v>52003049616</v>
      </c>
      <c r="AB63" s="18">
        <v>3049616</v>
      </c>
      <c r="AC63" s="18" t="s">
        <v>476</v>
      </c>
    </row>
    <row r="64" spans="1:29" ht="90" customHeight="1" x14ac:dyDescent="0.3">
      <c r="A64" s="16" t="s">
        <v>42</v>
      </c>
      <c r="B64" s="16" t="s">
        <v>42</v>
      </c>
      <c r="C64" s="16" t="s">
        <v>42</v>
      </c>
      <c r="D64" s="16" t="s">
        <v>42</v>
      </c>
      <c r="E64" s="16" t="s">
        <v>42</v>
      </c>
      <c r="F64" s="16" t="s">
        <v>42</v>
      </c>
      <c r="G64" s="16" t="s">
        <v>42</v>
      </c>
      <c r="H64" s="15" t="s">
        <v>41</v>
      </c>
      <c r="I64" s="15" t="s">
        <v>41</v>
      </c>
      <c r="J64" s="16" t="s">
        <v>42</v>
      </c>
      <c r="K64" s="16" t="s">
        <v>42</v>
      </c>
      <c r="L64" s="17" t="s">
        <v>477</v>
      </c>
      <c r="M64" s="18" t="s">
        <v>478</v>
      </c>
      <c r="N64" s="26" t="s">
        <v>479</v>
      </c>
      <c r="O64" s="18" t="s">
        <v>480</v>
      </c>
      <c r="P64" s="18" t="s">
        <v>481</v>
      </c>
      <c r="Q64" s="18" t="s">
        <v>482</v>
      </c>
      <c r="R64" s="18"/>
      <c r="S64" s="18" t="s">
        <v>483</v>
      </c>
      <c r="T64" s="18" t="s">
        <v>63</v>
      </c>
      <c r="U64" s="18" t="str">
        <f>"2011"</f>
        <v>2011</v>
      </c>
      <c r="V64" s="18" t="str">
        <f>"02 82448888"</f>
        <v>02 82448888</v>
      </c>
      <c r="W64" s="18" t="str">
        <f>""</f>
        <v/>
      </c>
      <c r="X64" s="26" t="s">
        <v>484</v>
      </c>
      <c r="Y64" s="18" t="s">
        <v>485</v>
      </c>
      <c r="Z64" s="18" t="s">
        <v>123</v>
      </c>
      <c r="AA64" s="18">
        <v>50055972248</v>
      </c>
      <c r="AB64" s="18">
        <v>55972248</v>
      </c>
      <c r="AC64" s="18" t="s">
        <v>159</v>
      </c>
    </row>
    <row r="65" spans="1:29" ht="90" customHeight="1" x14ac:dyDescent="0.3">
      <c r="A65" s="16" t="s">
        <v>42</v>
      </c>
      <c r="B65" s="16" t="s">
        <v>42</v>
      </c>
      <c r="C65" s="16" t="s">
        <v>42</v>
      </c>
      <c r="D65" s="16" t="s">
        <v>42</v>
      </c>
      <c r="E65" s="16" t="s">
        <v>42</v>
      </c>
      <c r="F65" s="16" t="s">
        <v>42</v>
      </c>
      <c r="G65" s="16" t="s">
        <v>42</v>
      </c>
      <c r="H65" s="15" t="s">
        <v>41</v>
      </c>
      <c r="I65" s="16" t="s">
        <v>42</v>
      </c>
      <c r="J65" s="16" t="s">
        <v>42</v>
      </c>
      <c r="K65" s="16" t="s">
        <v>42</v>
      </c>
      <c r="L65" s="17" t="s">
        <v>486</v>
      </c>
      <c r="M65" s="18" t="s">
        <v>2176</v>
      </c>
      <c r="N65" s="26" t="s">
        <v>487</v>
      </c>
      <c r="O65" s="18" t="s">
        <v>488</v>
      </c>
      <c r="P65" s="18" t="s">
        <v>60</v>
      </c>
      <c r="Q65" s="18" t="s">
        <v>489</v>
      </c>
      <c r="R65" s="18"/>
      <c r="S65" s="18" t="s">
        <v>90</v>
      </c>
      <c r="T65" s="18" t="s">
        <v>63</v>
      </c>
      <c r="U65" s="18">
        <v>2010</v>
      </c>
      <c r="V65" s="18" t="s">
        <v>490</v>
      </c>
      <c r="W65" s="18" t="s">
        <v>491</v>
      </c>
      <c r="X65" s="26" t="s">
        <v>492</v>
      </c>
      <c r="Y65" s="18"/>
      <c r="Z65" s="18" t="s">
        <v>54</v>
      </c>
      <c r="AA65" s="18">
        <v>49479887283</v>
      </c>
      <c r="AB65" s="18"/>
      <c r="AC65" s="18" t="s">
        <v>493</v>
      </c>
    </row>
    <row r="66" spans="1:29" ht="90" customHeight="1" x14ac:dyDescent="0.3">
      <c r="A66" s="16" t="s">
        <v>42</v>
      </c>
      <c r="B66" s="16" t="s">
        <v>42</v>
      </c>
      <c r="C66" s="16" t="s">
        <v>42</v>
      </c>
      <c r="D66" s="16" t="s">
        <v>42</v>
      </c>
      <c r="E66" s="16" t="s">
        <v>42</v>
      </c>
      <c r="F66" s="16" t="s">
        <v>42</v>
      </c>
      <c r="G66" s="16" t="s">
        <v>42</v>
      </c>
      <c r="H66" s="15" t="s">
        <v>41</v>
      </c>
      <c r="I66" s="16" t="s">
        <v>42</v>
      </c>
      <c r="J66" s="16" t="s">
        <v>42</v>
      </c>
      <c r="K66" s="16" t="s">
        <v>42</v>
      </c>
      <c r="L66" s="17" t="s">
        <v>494</v>
      </c>
      <c r="M66" s="18" t="s">
        <v>495</v>
      </c>
      <c r="N66" s="26" t="s">
        <v>496</v>
      </c>
      <c r="O66" s="18" t="s">
        <v>497</v>
      </c>
      <c r="P66" s="18" t="s">
        <v>47</v>
      </c>
      <c r="Q66" s="18" t="s">
        <v>498</v>
      </c>
      <c r="R66" s="18" t="s">
        <v>499</v>
      </c>
      <c r="S66" s="18" t="s">
        <v>392</v>
      </c>
      <c r="T66" s="18" t="s">
        <v>63</v>
      </c>
      <c r="U66" s="18" t="str">
        <f>"2060"</f>
        <v>2060</v>
      </c>
      <c r="V66" s="18" t="str">
        <f>"0299550637"</f>
        <v>0299550637</v>
      </c>
      <c r="W66" s="18" t="str">
        <f>"0299550637"</f>
        <v>0299550637</v>
      </c>
      <c r="X66" s="26" t="s">
        <v>500</v>
      </c>
      <c r="Y66" s="18"/>
      <c r="Z66" s="18" t="s">
        <v>54</v>
      </c>
      <c r="AA66" s="18">
        <v>37164411232</v>
      </c>
      <c r="AB66" s="18">
        <v>164411232</v>
      </c>
      <c r="AC66" s="18" t="s">
        <v>501</v>
      </c>
    </row>
    <row r="67" spans="1:29" ht="90" customHeight="1" x14ac:dyDescent="0.3">
      <c r="A67" s="15" t="s">
        <v>41</v>
      </c>
      <c r="B67" s="15" t="s">
        <v>41</v>
      </c>
      <c r="C67" s="15" t="s">
        <v>41</v>
      </c>
      <c r="D67" s="15" t="s">
        <v>41</v>
      </c>
      <c r="E67" s="16" t="s">
        <v>42</v>
      </c>
      <c r="F67" s="16" t="s">
        <v>42</v>
      </c>
      <c r="G67" s="16" t="s">
        <v>42</v>
      </c>
      <c r="H67" s="16" t="s">
        <v>42</v>
      </c>
      <c r="I67" s="16" t="s">
        <v>42</v>
      </c>
      <c r="J67" s="16" t="s">
        <v>42</v>
      </c>
      <c r="K67" s="16" t="s">
        <v>42</v>
      </c>
      <c r="L67" s="17" t="s">
        <v>502</v>
      </c>
      <c r="M67" s="18" t="s">
        <v>503</v>
      </c>
      <c r="N67" s="26" t="s">
        <v>504</v>
      </c>
      <c r="O67" s="18" t="s">
        <v>505</v>
      </c>
      <c r="P67" s="18" t="s">
        <v>506</v>
      </c>
      <c r="Q67" s="18" t="s">
        <v>507</v>
      </c>
      <c r="R67" s="18"/>
      <c r="S67" s="18" t="s">
        <v>83</v>
      </c>
      <c r="T67" s="18" t="s">
        <v>63</v>
      </c>
      <c r="U67" s="18" t="str">
        <f>"2000"</f>
        <v>2000</v>
      </c>
      <c r="V67" s="18" t="str">
        <f>"9249 2086"</f>
        <v>9249 2086</v>
      </c>
      <c r="W67" s="18" t="str">
        <f>"0427 100 001"</f>
        <v>0427 100 001</v>
      </c>
      <c r="X67" s="26" t="s">
        <v>508</v>
      </c>
      <c r="Y67" s="18" t="s">
        <v>502</v>
      </c>
      <c r="Z67" s="18" t="s">
        <v>123</v>
      </c>
      <c r="AA67" s="18">
        <v>94003734692</v>
      </c>
      <c r="AB67" s="18">
        <v>3734692</v>
      </c>
      <c r="AC67" s="18" t="s">
        <v>509</v>
      </c>
    </row>
    <row r="68" spans="1:29" ht="90" customHeight="1" x14ac:dyDescent="0.3">
      <c r="A68" s="16" t="s">
        <v>42</v>
      </c>
      <c r="B68" s="16" t="s">
        <v>42</v>
      </c>
      <c r="C68" s="16" t="s">
        <v>42</v>
      </c>
      <c r="D68" s="16" t="s">
        <v>42</v>
      </c>
      <c r="E68" s="16" t="s">
        <v>42</v>
      </c>
      <c r="F68" s="16" t="s">
        <v>42</v>
      </c>
      <c r="G68" s="16" t="s">
        <v>42</v>
      </c>
      <c r="H68" s="15" t="s">
        <v>41</v>
      </c>
      <c r="I68" s="16" t="s">
        <v>42</v>
      </c>
      <c r="J68" s="16" t="s">
        <v>42</v>
      </c>
      <c r="K68" s="16" t="s">
        <v>42</v>
      </c>
      <c r="L68" s="17" t="s">
        <v>510</v>
      </c>
      <c r="M68" s="18" t="s">
        <v>511</v>
      </c>
      <c r="N68" s="26" t="s">
        <v>512</v>
      </c>
      <c r="O68" s="18" t="s">
        <v>513</v>
      </c>
      <c r="P68" s="18" t="s">
        <v>60</v>
      </c>
      <c r="Q68" s="18" t="s">
        <v>514</v>
      </c>
      <c r="R68" s="18"/>
      <c r="S68" s="18" t="s">
        <v>130</v>
      </c>
      <c r="T68" s="18" t="s">
        <v>63</v>
      </c>
      <c r="U68" s="18" t="str">
        <f>"2010"</f>
        <v>2010</v>
      </c>
      <c r="V68" s="18" t="str">
        <f>"+61293563217"</f>
        <v>+61293563217</v>
      </c>
      <c r="W68" s="18" t="str">
        <f>"0407577142"</f>
        <v>0407577142</v>
      </c>
      <c r="X68" s="26" t="s">
        <v>515</v>
      </c>
      <c r="Y68" s="18"/>
      <c r="Z68" s="18" t="s">
        <v>54</v>
      </c>
      <c r="AA68" s="18">
        <v>33143281618</v>
      </c>
      <c r="AB68" s="18"/>
      <c r="AC68" s="18" t="s">
        <v>86</v>
      </c>
    </row>
    <row r="69" spans="1:29" ht="90" customHeight="1" x14ac:dyDescent="0.3">
      <c r="A69" s="16" t="s">
        <v>42</v>
      </c>
      <c r="B69" s="16" t="s">
        <v>42</v>
      </c>
      <c r="C69" s="16" t="s">
        <v>42</v>
      </c>
      <c r="D69" s="16" t="s">
        <v>42</v>
      </c>
      <c r="E69" s="16" t="s">
        <v>42</v>
      </c>
      <c r="F69" s="16" t="s">
        <v>42</v>
      </c>
      <c r="G69" s="16" t="s">
        <v>42</v>
      </c>
      <c r="H69" s="15" t="s">
        <v>41</v>
      </c>
      <c r="I69" s="16" t="s">
        <v>42</v>
      </c>
      <c r="J69" s="16" t="s">
        <v>42</v>
      </c>
      <c r="K69" s="16" t="s">
        <v>42</v>
      </c>
      <c r="L69" s="17" t="s">
        <v>516</v>
      </c>
      <c r="M69" s="18" t="s">
        <v>517</v>
      </c>
      <c r="N69" s="26" t="s">
        <v>518</v>
      </c>
      <c r="O69" s="18" t="s">
        <v>519</v>
      </c>
      <c r="P69" s="18" t="s">
        <v>358</v>
      </c>
      <c r="Q69" s="18" t="s">
        <v>520</v>
      </c>
      <c r="R69" s="18"/>
      <c r="S69" s="18" t="s">
        <v>521</v>
      </c>
      <c r="T69" s="18" t="s">
        <v>63</v>
      </c>
      <c r="U69" s="18" t="str">
        <f>"2603"</f>
        <v>2603</v>
      </c>
      <c r="V69" s="18" t="str">
        <f>"(02) 6295 1433"</f>
        <v>(02) 6295 1433</v>
      </c>
      <c r="W69" s="18" t="str">
        <f>""</f>
        <v/>
      </c>
      <c r="X69" s="26" t="s">
        <v>522</v>
      </c>
      <c r="Y69" s="18"/>
      <c r="Z69" s="18" t="s">
        <v>54</v>
      </c>
      <c r="AA69" s="18">
        <v>24008602499</v>
      </c>
      <c r="AB69" s="18">
        <v>8602499</v>
      </c>
      <c r="AC69" s="18" t="s">
        <v>523</v>
      </c>
    </row>
    <row r="70" spans="1:29" ht="90" customHeight="1" x14ac:dyDescent="0.3">
      <c r="A70" s="16" t="s">
        <v>42</v>
      </c>
      <c r="B70" s="15" t="s">
        <v>41</v>
      </c>
      <c r="C70" s="16" t="s">
        <v>42</v>
      </c>
      <c r="D70" s="16" t="s">
        <v>42</v>
      </c>
      <c r="E70" s="16" t="s">
        <v>42</v>
      </c>
      <c r="F70" s="16" t="s">
        <v>42</v>
      </c>
      <c r="G70" s="16" t="s">
        <v>42</v>
      </c>
      <c r="H70" s="15" t="s">
        <v>41</v>
      </c>
      <c r="I70" s="16" t="s">
        <v>42</v>
      </c>
      <c r="J70" s="16" t="s">
        <v>42</v>
      </c>
      <c r="K70" s="16" t="s">
        <v>42</v>
      </c>
      <c r="L70" s="17" t="s">
        <v>524</v>
      </c>
      <c r="M70" s="18" t="s">
        <v>525</v>
      </c>
      <c r="N70" s="26" t="s">
        <v>526</v>
      </c>
      <c r="O70" s="18" t="s">
        <v>527</v>
      </c>
      <c r="P70" s="18" t="s">
        <v>528</v>
      </c>
      <c r="Q70" s="18" t="s">
        <v>529</v>
      </c>
      <c r="R70" s="18"/>
      <c r="S70" s="18" t="s">
        <v>99</v>
      </c>
      <c r="T70" s="18" t="s">
        <v>63</v>
      </c>
      <c r="U70" s="18" t="str">
        <f>"2009"</f>
        <v>2009</v>
      </c>
      <c r="V70" s="18" t="str">
        <f>"0295662880"</f>
        <v>0295662880</v>
      </c>
      <c r="W70" s="18" t="str">
        <f>"0411214044"</f>
        <v>0411214044</v>
      </c>
      <c r="X70" s="26" t="s">
        <v>530</v>
      </c>
      <c r="Y70" s="18" t="s">
        <v>524</v>
      </c>
      <c r="Z70" s="18" t="s">
        <v>54</v>
      </c>
      <c r="AA70" s="18">
        <v>52011715077</v>
      </c>
      <c r="AB70" s="18"/>
      <c r="AC70" s="18" t="s">
        <v>531</v>
      </c>
    </row>
    <row r="71" spans="1:29" ht="90" customHeight="1" x14ac:dyDescent="0.3">
      <c r="A71" s="16" t="s">
        <v>42</v>
      </c>
      <c r="B71" s="16" t="s">
        <v>42</v>
      </c>
      <c r="C71" s="16" t="s">
        <v>42</v>
      </c>
      <c r="D71" s="16" t="s">
        <v>42</v>
      </c>
      <c r="E71" s="16" t="s">
        <v>42</v>
      </c>
      <c r="F71" s="16" t="s">
        <v>42</v>
      </c>
      <c r="G71" s="16" t="s">
        <v>42</v>
      </c>
      <c r="H71" s="15" t="s">
        <v>41</v>
      </c>
      <c r="I71" s="16" t="s">
        <v>42</v>
      </c>
      <c r="J71" s="15" t="s">
        <v>41</v>
      </c>
      <c r="K71" s="16" t="s">
        <v>42</v>
      </c>
      <c r="L71" s="17" t="s">
        <v>532</v>
      </c>
      <c r="M71" s="18" t="s">
        <v>533</v>
      </c>
      <c r="N71" s="26" t="s">
        <v>534</v>
      </c>
      <c r="O71" s="18" t="s">
        <v>535</v>
      </c>
      <c r="P71" s="18" t="s">
        <v>60</v>
      </c>
      <c r="Q71" s="18" t="s">
        <v>536</v>
      </c>
      <c r="R71" s="18"/>
      <c r="S71" s="18" t="s">
        <v>537</v>
      </c>
      <c r="T71" s="18" t="s">
        <v>63</v>
      </c>
      <c r="U71" s="18" t="str">
        <f>"2007"</f>
        <v>2007</v>
      </c>
      <c r="V71" s="18" t="str">
        <f>"0282189100"</f>
        <v>0282189100</v>
      </c>
      <c r="W71" s="18" t="str">
        <f>"0404 811 405"</f>
        <v>0404 811 405</v>
      </c>
      <c r="X71" s="26" t="s">
        <v>538</v>
      </c>
      <c r="Y71" s="18"/>
      <c r="Z71" s="18" t="s">
        <v>123</v>
      </c>
      <c r="AA71" s="18">
        <v>81636465373</v>
      </c>
      <c r="AB71" s="18">
        <v>636465373</v>
      </c>
      <c r="AC71" s="18" t="s">
        <v>539</v>
      </c>
    </row>
    <row r="72" spans="1:29" ht="90" customHeight="1" x14ac:dyDescent="0.3">
      <c r="A72" s="16" t="s">
        <v>42</v>
      </c>
      <c r="B72" s="16" t="s">
        <v>42</v>
      </c>
      <c r="C72" s="16" t="s">
        <v>42</v>
      </c>
      <c r="D72" s="16" t="s">
        <v>42</v>
      </c>
      <c r="E72" s="16" t="s">
        <v>42</v>
      </c>
      <c r="F72" s="16" t="s">
        <v>42</v>
      </c>
      <c r="G72" s="16" t="s">
        <v>42</v>
      </c>
      <c r="H72" s="16" t="s">
        <v>42</v>
      </c>
      <c r="I72" s="15" t="s">
        <v>41</v>
      </c>
      <c r="J72" s="15" t="s">
        <v>41</v>
      </c>
      <c r="K72" s="16" t="s">
        <v>42</v>
      </c>
      <c r="L72" s="17" t="s">
        <v>540</v>
      </c>
      <c r="M72" s="18" t="s">
        <v>541</v>
      </c>
      <c r="N72" s="26" t="s">
        <v>542</v>
      </c>
      <c r="O72" s="18" t="s">
        <v>543</v>
      </c>
      <c r="P72" s="18" t="s">
        <v>60</v>
      </c>
      <c r="Q72" s="18" t="s">
        <v>544</v>
      </c>
      <c r="R72" s="18"/>
      <c r="S72" s="18" t="s">
        <v>545</v>
      </c>
      <c r="T72" s="18" t="s">
        <v>63</v>
      </c>
      <c r="U72" s="18" t="str">
        <f>"2011"</f>
        <v>2011</v>
      </c>
      <c r="V72" s="18" t="str">
        <f>"82448900"</f>
        <v>82448900</v>
      </c>
      <c r="W72" s="18" t="str">
        <f>"0410 340 544"</f>
        <v>0410 340 544</v>
      </c>
      <c r="X72" s="26" t="s">
        <v>546</v>
      </c>
      <c r="Y72" s="18"/>
      <c r="Z72" s="18" t="s">
        <v>54</v>
      </c>
      <c r="AA72" s="18">
        <v>14093350719</v>
      </c>
      <c r="AB72" s="18">
        <v>93350719</v>
      </c>
      <c r="AC72" s="18" t="s">
        <v>547</v>
      </c>
    </row>
    <row r="73" spans="1:29" ht="90" customHeight="1" x14ac:dyDescent="0.3">
      <c r="A73" s="16" t="s">
        <v>42</v>
      </c>
      <c r="B73" s="16" t="s">
        <v>42</v>
      </c>
      <c r="C73" s="16" t="s">
        <v>42</v>
      </c>
      <c r="D73" s="16" t="s">
        <v>42</v>
      </c>
      <c r="E73" s="16" t="s">
        <v>42</v>
      </c>
      <c r="F73" s="16" t="s">
        <v>42</v>
      </c>
      <c r="G73" s="16" t="s">
        <v>42</v>
      </c>
      <c r="H73" s="16" t="s">
        <v>42</v>
      </c>
      <c r="I73" s="16" t="s">
        <v>42</v>
      </c>
      <c r="J73" s="16" t="s">
        <v>42</v>
      </c>
      <c r="K73" s="15" t="s">
        <v>41</v>
      </c>
      <c r="L73" s="17" t="s">
        <v>548</v>
      </c>
      <c r="M73" s="18" t="s">
        <v>549</v>
      </c>
      <c r="N73" s="26" t="s">
        <v>550</v>
      </c>
      <c r="O73" s="18" t="s">
        <v>551</v>
      </c>
      <c r="P73" s="18" t="s">
        <v>60</v>
      </c>
      <c r="Q73" s="18" t="s">
        <v>552</v>
      </c>
      <c r="R73" s="18"/>
      <c r="S73" s="18" t="s">
        <v>553</v>
      </c>
      <c r="T73" s="18" t="s">
        <v>63</v>
      </c>
      <c r="U73" s="18" t="str">
        <f>"2104"</f>
        <v>2104</v>
      </c>
      <c r="V73" s="18" t="str">
        <f>"(02) 99792102"</f>
        <v>(02) 99792102</v>
      </c>
      <c r="W73" s="18" t="str">
        <f>"+61458665261"</f>
        <v>+61458665261</v>
      </c>
      <c r="X73" s="26" t="s">
        <v>554</v>
      </c>
      <c r="Y73" s="18"/>
      <c r="Z73" s="18" t="s">
        <v>54</v>
      </c>
      <c r="AA73" s="18">
        <v>47617071315</v>
      </c>
      <c r="AB73" s="18">
        <v>617071315</v>
      </c>
      <c r="AC73" s="18" t="s">
        <v>555</v>
      </c>
    </row>
    <row r="74" spans="1:29" ht="90" customHeight="1" x14ac:dyDescent="0.3">
      <c r="A74" s="16" t="s">
        <v>42</v>
      </c>
      <c r="B74" s="16" t="s">
        <v>42</v>
      </c>
      <c r="C74" s="16" t="s">
        <v>42</v>
      </c>
      <c r="D74" s="16" t="s">
        <v>42</v>
      </c>
      <c r="E74" s="16" t="s">
        <v>42</v>
      </c>
      <c r="F74" s="16" t="s">
        <v>42</v>
      </c>
      <c r="G74" s="16" t="s">
        <v>42</v>
      </c>
      <c r="H74" s="16" t="s">
        <v>42</v>
      </c>
      <c r="I74" s="15" t="s">
        <v>41</v>
      </c>
      <c r="J74" s="15" t="s">
        <v>41</v>
      </c>
      <c r="K74" s="16" t="s">
        <v>42</v>
      </c>
      <c r="L74" s="17" t="s">
        <v>556</v>
      </c>
      <c r="M74" s="18" t="s">
        <v>557</v>
      </c>
      <c r="N74" s="26" t="s">
        <v>558</v>
      </c>
      <c r="O74" s="18" t="s">
        <v>559</v>
      </c>
      <c r="P74" s="18" t="s">
        <v>47</v>
      </c>
      <c r="Q74" s="18" t="s">
        <v>560</v>
      </c>
      <c r="R74" s="18" t="s">
        <v>561</v>
      </c>
      <c r="S74" s="18" t="s">
        <v>562</v>
      </c>
      <c r="T74" s="18" t="s">
        <v>63</v>
      </c>
      <c r="U74" s="18" t="str">
        <f>"2065"</f>
        <v>2065</v>
      </c>
      <c r="V74" s="18" t="str">
        <f>"02 99066636"</f>
        <v>02 99066636</v>
      </c>
      <c r="W74" s="18" t="str">
        <f>"0406992447"</f>
        <v>0406992447</v>
      </c>
      <c r="X74" s="26" t="s">
        <v>563</v>
      </c>
      <c r="Y74" s="18" t="s">
        <v>564</v>
      </c>
      <c r="Z74" s="18" t="s">
        <v>54</v>
      </c>
      <c r="AA74" s="18">
        <v>61003785153</v>
      </c>
      <c r="AB74" s="18">
        <v>3785153</v>
      </c>
      <c r="AC74" s="18" t="s">
        <v>565</v>
      </c>
    </row>
    <row r="75" spans="1:29" ht="90" customHeight="1" x14ac:dyDescent="0.3">
      <c r="A75" s="16" t="s">
        <v>42</v>
      </c>
      <c r="B75" s="16" t="s">
        <v>42</v>
      </c>
      <c r="C75" s="16" t="s">
        <v>42</v>
      </c>
      <c r="D75" s="16" t="s">
        <v>42</v>
      </c>
      <c r="E75" s="16" t="s">
        <v>42</v>
      </c>
      <c r="F75" s="16" t="s">
        <v>42</v>
      </c>
      <c r="G75" s="16" t="s">
        <v>42</v>
      </c>
      <c r="H75" s="15" t="s">
        <v>41</v>
      </c>
      <c r="I75" s="16" t="s">
        <v>42</v>
      </c>
      <c r="J75" s="16" t="s">
        <v>42</v>
      </c>
      <c r="K75" s="16" t="s">
        <v>42</v>
      </c>
      <c r="L75" s="17" t="s">
        <v>566</v>
      </c>
      <c r="M75" s="18" t="s">
        <v>567</v>
      </c>
      <c r="N75" s="26" t="s">
        <v>568</v>
      </c>
      <c r="O75" s="18" t="s">
        <v>569</v>
      </c>
      <c r="P75" s="18" t="s">
        <v>60</v>
      </c>
      <c r="Q75" s="18" t="s">
        <v>570</v>
      </c>
      <c r="R75" s="18" t="s">
        <v>571</v>
      </c>
      <c r="S75" s="18" t="s">
        <v>483</v>
      </c>
      <c r="T75" s="18" t="s">
        <v>63</v>
      </c>
      <c r="U75" s="18" t="str">
        <f>"4101"</f>
        <v>4101</v>
      </c>
      <c r="V75" s="18" t="str">
        <f>"02 93661133"</f>
        <v>02 93661133</v>
      </c>
      <c r="W75" s="18" t="str">
        <f>"0423103068"</f>
        <v>0423103068</v>
      </c>
      <c r="X75" s="26" t="s">
        <v>572</v>
      </c>
      <c r="Y75" s="18"/>
      <c r="Z75" s="18" t="s">
        <v>213</v>
      </c>
      <c r="AA75" s="18">
        <v>77010924106</v>
      </c>
      <c r="AB75" s="18">
        <v>10924106</v>
      </c>
      <c r="AC75" s="18" t="s">
        <v>573</v>
      </c>
    </row>
    <row r="76" spans="1:29" ht="90" customHeight="1" x14ac:dyDescent="0.3">
      <c r="A76" s="16" t="s">
        <v>42</v>
      </c>
      <c r="B76" s="16" t="s">
        <v>42</v>
      </c>
      <c r="C76" s="16" t="s">
        <v>42</v>
      </c>
      <c r="D76" s="16" t="s">
        <v>42</v>
      </c>
      <c r="E76" s="16" t="s">
        <v>42</v>
      </c>
      <c r="F76" s="16" t="s">
        <v>42</v>
      </c>
      <c r="G76" s="16" t="s">
        <v>42</v>
      </c>
      <c r="H76" s="15" t="s">
        <v>41</v>
      </c>
      <c r="I76" s="15" t="s">
        <v>41</v>
      </c>
      <c r="J76" s="16" t="s">
        <v>42</v>
      </c>
      <c r="K76" s="16" t="s">
        <v>42</v>
      </c>
      <c r="L76" s="17" t="s">
        <v>574</v>
      </c>
      <c r="M76" s="18" t="s">
        <v>575</v>
      </c>
      <c r="N76" s="26" t="s">
        <v>576</v>
      </c>
      <c r="O76" s="18" t="s">
        <v>577</v>
      </c>
      <c r="P76" s="18" t="s">
        <v>60</v>
      </c>
      <c r="Q76" s="18" t="s">
        <v>498</v>
      </c>
      <c r="R76" s="18" t="s">
        <v>578</v>
      </c>
      <c r="S76" s="18" t="s">
        <v>83</v>
      </c>
      <c r="T76" s="18" t="s">
        <v>63</v>
      </c>
      <c r="U76" s="18" t="str">
        <f>"2000"</f>
        <v>2000</v>
      </c>
      <c r="V76" s="18" t="str">
        <f>"02 9267 9599"</f>
        <v>02 9267 9599</v>
      </c>
      <c r="W76" s="18" t="str">
        <f>""</f>
        <v/>
      </c>
      <c r="X76" s="26" t="s">
        <v>579</v>
      </c>
      <c r="Y76" s="18" t="s">
        <v>580</v>
      </c>
      <c r="Z76" s="18" t="s">
        <v>85</v>
      </c>
      <c r="AA76" s="18">
        <v>95002535891</v>
      </c>
      <c r="AB76" s="18">
        <v>2535891</v>
      </c>
      <c r="AC76" s="18" t="s">
        <v>581</v>
      </c>
    </row>
    <row r="77" spans="1:29" ht="90" customHeight="1" x14ac:dyDescent="0.3">
      <c r="A77" s="16" t="s">
        <v>42</v>
      </c>
      <c r="B77" s="16" t="s">
        <v>42</v>
      </c>
      <c r="C77" s="16" t="s">
        <v>42</v>
      </c>
      <c r="D77" s="16" t="s">
        <v>42</v>
      </c>
      <c r="E77" s="16" t="s">
        <v>42</v>
      </c>
      <c r="F77" s="16" t="s">
        <v>42</v>
      </c>
      <c r="G77" s="16" t="s">
        <v>42</v>
      </c>
      <c r="H77" s="16" t="s">
        <v>42</v>
      </c>
      <c r="I77" s="16" t="s">
        <v>42</v>
      </c>
      <c r="J77" s="16" t="s">
        <v>42</v>
      </c>
      <c r="K77" s="15" t="s">
        <v>41</v>
      </c>
      <c r="L77" s="17" t="s">
        <v>2215</v>
      </c>
      <c r="M77" s="18" t="s">
        <v>2216</v>
      </c>
      <c r="N77" s="26" t="s">
        <v>2217</v>
      </c>
      <c r="O77" s="18" t="s">
        <v>2218</v>
      </c>
      <c r="P77" s="18" t="s">
        <v>189</v>
      </c>
      <c r="Q77" s="18" t="s">
        <v>2219</v>
      </c>
      <c r="R77" s="18"/>
      <c r="S77" s="18" t="s">
        <v>83</v>
      </c>
      <c r="T77" s="18" t="s">
        <v>63</v>
      </c>
      <c r="U77" s="18">
        <v>2000</v>
      </c>
      <c r="V77" s="18" t="s">
        <v>2220</v>
      </c>
      <c r="W77" s="18" t="s">
        <v>2220</v>
      </c>
      <c r="X77" s="26" t="s">
        <v>2221</v>
      </c>
      <c r="Y77" s="18"/>
      <c r="Z77" s="18" t="s">
        <v>54</v>
      </c>
      <c r="AA77" s="18">
        <v>85134406368</v>
      </c>
      <c r="AB77" s="18"/>
      <c r="AC77" s="18" t="s">
        <v>2222</v>
      </c>
    </row>
    <row r="78" spans="1:29" ht="90" customHeight="1" x14ac:dyDescent="0.3">
      <c r="A78" s="16" t="s">
        <v>42</v>
      </c>
      <c r="B78" s="16" t="s">
        <v>42</v>
      </c>
      <c r="C78" s="16" t="s">
        <v>42</v>
      </c>
      <c r="D78" s="16" t="s">
        <v>42</v>
      </c>
      <c r="E78" s="16" t="s">
        <v>42</v>
      </c>
      <c r="F78" s="16" t="s">
        <v>42</v>
      </c>
      <c r="G78" s="16" t="s">
        <v>42</v>
      </c>
      <c r="H78" s="15" t="s">
        <v>41</v>
      </c>
      <c r="I78" s="16" t="s">
        <v>42</v>
      </c>
      <c r="J78" s="16" t="s">
        <v>42</v>
      </c>
      <c r="K78" s="16" t="s">
        <v>42</v>
      </c>
      <c r="L78" s="17" t="s">
        <v>582</v>
      </c>
      <c r="M78" s="18" t="s">
        <v>583</v>
      </c>
      <c r="N78" s="26" t="s">
        <v>584</v>
      </c>
      <c r="O78" s="18" t="s">
        <v>585</v>
      </c>
      <c r="P78" s="18" t="s">
        <v>586</v>
      </c>
      <c r="Q78" s="18" t="s">
        <v>587</v>
      </c>
      <c r="R78" s="18" t="s">
        <v>588</v>
      </c>
      <c r="S78" s="18" t="s">
        <v>83</v>
      </c>
      <c r="T78" s="18" t="s">
        <v>63</v>
      </c>
      <c r="U78" s="18" t="str">
        <f>"2000"</f>
        <v>2000</v>
      </c>
      <c r="V78" s="18" t="str">
        <f>"0282955300"</f>
        <v>0282955300</v>
      </c>
      <c r="W78" s="18" t="str">
        <f>""</f>
        <v/>
      </c>
      <c r="X78" s="26" t="s">
        <v>589</v>
      </c>
      <c r="Y78" s="18" t="s">
        <v>590</v>
      </c>
      <c r="Z78" s="18" t="s">
        <v>123</v>
      </c>
      <c r="AA78" s="18">
        <v>80095989272</v>
      </c>
      <c r="AB78" s="18">
        <v>95989272</v>
      </c>
      <c r="AC78" s="18" t="s">
        <v>93</v>
      </c>
    </row>
    <row r="79" spans="1:29" ht="90" customHeight="1" x14ac:dyDescent="0.3">
      <c r="A79" s="16" t="s">
        <v>42</v>
      </c>
      <c r="B79" s="16" t="s">
        <v>42</v>
      </c>
      <c r="C79" s="16" t="s">
        <v>42</v>
      </c>
      <c r="D79" s="16" t="s">
        <v>42</v>
      </c>
      <c r="E79" s="16" t="s">
        <v>42</v>
      </c>
      <c r="F79" s="16" t="s">
        <v>42</v>
      </c>
      <c r="G79" s="16" t="s">
        <v>42</v>
      </c>
      <c r="H79" s="15" t="s">
        <v>41</v>
      </c>
      <c r="I79" s="16" t="s">
        <v>42</v>
      </c>
      <c r="J79" s="16" t="s">
        <v>42</v>
      </c>
      <c r="K79" s="16" t="s">
        <v>42</v>
      </c>
      <c r="L79" s="17" t="s">
        <v>591</v>
      </c>
      <c r="M79" s="18" t="s">
        <v>592</v>
      </c>
      <c r="N79" s="26" t="s">
        <v>593</v>
      </c>
      <c r="O79" s="18" t="s">
        <v>594</v>
      </c>
      <c r="P79" s="18" t="s">
        <v>60</v>
      </c>
      <c r="Q79" s="18" t="s">
        <v>595</v>
      </c>
      <c r="R79" s="18"/>
      <c r="S79" s="18" t="s">
        <v>295</v>
      </c>
      <c r="T79" s="18" t="s">
        <v>63</v>
      </c>
      <c r="U79" s="18" t="str">
        <f>"2018"</f>
        <v>2018</v>
      </c>
      <c r="V79" s="18" t="str">
        <f>"+61414227780"</f>
        <v>+61414227780</v>
      </c>
      <c r="W79" s="18" t="str">
        <f>"0414227780"</f>
        <v>0414227780</v>
      </c>
      <c r="X79" s="26" t="s">
        <v>596</v>
      </c>
      <c r="Y79" s="18"/>
      <c r="Z79" s="18" t="s">
        <v>54</v>
      </c>
      <c r="AA79" s="18">
        <v>63091433653</v>
      </c>
      <c r="AB79" s="18">
        <v>91433653</v>
      </c>
      <c r="AC79" s="18" t="s">
        <v>476</v>
      </c>
    </row>
    <row r="80" spans="1:29" ht="90" customHeight="1" x14ac:dyDescent="0.3">
      <c r="A80" s="16" t="s">
        <v>42</v>
      </c>
      <c r="B80" s="16" t="s">
        <v>42</v>
      </c>
      <c r="C80" s="16" t="s">
        <v>42</v>
      </c>
      <c r="D80" s="16" t="s">
        <v>42</v>
      </c>
      <c r="E80" s="16" t="s">
        <v>42</v>
      </c>
      <c r="F80" s="16" t="s">
        <v>42</v>
      </c>
      <c r="G80" s="16" t="s">
        <v>42</v>
      </c>
      <c r="H80" s="15" t="s">
        <v>41</v>
      </c>
      <c r="I80" s="16" t="s">
        <v>42</v>
      </c>
      <c r="J80" s="16" t="s">
        <v>42</v>
      </c>
      <c r="K80" s="16" t="s">
        <v>42</v>
      </c>
      <c r="L80" s="17" t="s">
        <v>597</v>
      </c>
      <c r="M80" s="18" t="s">
        <v>597</v>
      </c>
      <c r="N80" s="26" t="s">
        <v>598</v>
      </c>
      <c r="O80" s="18" t="s">
        <v>599</v>
      </c>
      <c r="P80" s="18" t="s">
        <v>60</v>
      </c>
      <c r="Q80" s="18" t="s">
        <v>498</v>
      </c>
      <c r="R80" s="18" t="s">
        <v>600</v>
      </c>
      <c r="S80" s="18" t="s">
        <v>83</v>
      </c>
      <c r="T80" s="18" t="s">
        <v>63</v>
      </c>
      <c r="U80" s="18" t="str">
        <f>"2000"</f>
        <v>2000</v>
      </c>
      <c r="V80" s="18" t="str">
        <f>"9051 0177"</f>
        <v>9051 0177</v>
      </c>
      <c r="W80" s="18" t="str">
        <f>"0425318864"</f>
        <v>0425318864</v>
      </c>
      <c r="X80" s="26" t="s">
        <v>601</v>
      </c>
      <c r="Y80" s="18"/>
      <c r="Z80" s="18" t="s">
        <v>54</v>
      </c>
      <c r="AA80" s="18">
        <v>99152959870</v>
      </c>
      <c r="AB80" s="18">
        <v>152959870</v>
      </c>
      <c r="AC80" s="18" t="s">
        <v>602</v>
      </c>
    </row>
    <row r="81" spans="1:29" ht="90" customHeight="1" x14ac:dyDescent="0.3">
      <c r="A81" s="16" t="s">
        <v>42</v>
      </c>
      <c r="B81" s="16" t="s">
        <v>42</v>
      </c>
      <c r="C81" s="16" t="s">
        <v>42</v>
      </c>
      <c r="D81" s="16" t="s">
        <v>42</v>
      </c>
      <c r="E81" s="16" t="s">
        <v>42</v>
      </c>
      <c r="F81" s="16" t="s">
        <v>42</v>
      </c>
      <c r="G81" s="16" t="s">
        <v>42</v>
      </c>
      <c r="H81" s="16" t="s">
        <v>42</v>
      </c>
      <c r="I81" s="16" t="s">
        <v>42</v>
      </c>
      <c r="J81" s="16" t="s">
        <v>42</v>
      </c>
      <c r="K81" s="15" t="s">
        <v>41</v>
      </c>
      <c r="L81" s="17" t="s">
        <v>603</v>
      </c>
      <c r="M81" s="18" t="s">
        <v>604</v>
      </c>
      <c r="N81" s="26" t="s">
        <v>605</v>
      </c>
      <c r="O81" s="18" t="s">
        <v>606</v>
      </c>
      <c r="P81" s="18" t="s">
        <v>60</v>
      </c>
      <c r="Q81" s="18" t="s">
        <v>607</v>
      </c>
      <c r="R81" s="18" t="s">
        <v>608</v>
      </c>
      <c r="S81" s="18" t="s">
        <v>305</v>
      </c>
      <c r="T81" s="18" t="s">
        <v>306</v>
      </c>
      <c r="U81" s="18" t="str">
        <f>"5000"</f>
        <v>5000</v>
      </c>
      <c r="V81" s="18" t="str">
        <f>"0405 106 268"</f>
        <v>0405 106 268</v>
      </c>
      <c r="W81" s="18" t="str">
        <f>"0405 106 268"</f>
        <v>0405 106 268</v>
      </c>
      <c r="X81" s="26" t="s">
        <v>609</v>
      </c>
      <c r="Y81" s="18" t="s">
        <v>610</v>
      </c>
      <c r="Z81" s="18" t="s">
        <v>54</v>
      </c>
      <c r="AA81" s="18">
        <v>38159612067</v>
      </c>
      <c r="AB81" s="18">
        <v>159612067</v>
      </c>
      <c r="AC81" s="18" t="s">
        <v>611</v>
      </c>
    </row>
    <row r="82" spans="1:29" ht="90" customHeight="1" x14ac:dyDescent="0.3">
      <c r="A82" s="16" t="s">
        <v>42</v>
      </c>
      <c r="B82" s="16" t="s">
        <v>42</v>
      </c>
      <c r="C82" s="16" t="s">
        <v>42</v>
      </c>
      <c r="D82" s="16" t="s">
        <v>42</v>
      </c>
      <c r="E82" s="16" t="s">
        <v>42</v>
      </c>
      <c r="F82" s="16" t="s">
        <v>42</v>
      </c>
      <c r="G82" s="16" t="s">
        <v>42</v>
      </c>
      <c r="H82" s="15" t="s">
        <v>41</v>
      </c>
      <c r="I82" s="16" t="s">
        <v>42</v>
      </c>
      <c r="J82" s="16" t="s">
        <v>42</v>
      </c>
      <c r="K82" s="16" t="s">
        <v>42</v>
      </c>
      <c r="L82" s="17" t="s">
        <v>612</v>
      </c>
      <c r="M82" s="18" t="s">
        <v>613</v>
      </c>
      <c r="N82" s="26" t="s">
        <v>614</v>
      </c>
      <c r="O82" s="18" t="s">
        <v>615</v>
      </c>
      <c r="P82" s="18" t="s">
        <v>616</v>
      </c>
      <c r="Q82" s="18" t="s">
        <v>617</v>
      </c>
      <c r="R82" s="18"/>
      <c r="S82" s="18" t="s">
        <v>83</v>
      </c>
      <c r="T82" s="18" t="s">
        <v>63</v>
      </c>
      <c r="U82" s="18" t="str">
        <f>"2000"</f>
        <v>2000</v>
      </c>
      <c r="V82" s="18" t="str">
        <f>"02 82335600"</f>
        <v>02 82335600</v>
      </c>
      <c r="W82" s="18" t="str">
        <f>"0407028612"</f>
        <v>0407028612</v>
      </c>
      <c r="X82" s="26" t="s">
        <v>618</v>
      </c>
      <c r="Y82" s="18"/>
      <c r="Z82" s="18" t="s">
        <v>123</v>
      </c>
      <c r="AA82" s="18">
        <v>33099216841</v>
      </c>
      <c r="AB82" s="18">
        <v>99216841</v>
      </c>
      <c r="AC82" s="18" t="s">
        <v>555</v>
      </c>
    </row>
    <row r="83" spans="1:29" ht="90" customHeight="1" x14ac:dyDescent="0.3">
      <c r="A83" s="16" t="s">
        <v>42</v>
      </c>
      <c r="B83" s="16" t="s">
        <v>42</v>
      </c>
      <c r="C83" s="16" t="s">
        <v>42</v>
      </c>
      <c r="D83" s="16" t="s">
        <v>42</v>
      </c>
      <c r="E83" s="16" t="s">
        <v>42</v>
      </c>
      <c r="F83" s="16" t="s">
        <v>42</v>
      </c>
      <c r="G83" s="16" t="s">
        <v>42</v>
      </c>
      <c r="H83" s="15" t="s">
        <v>41</v>
      </c>
      <c r="I83" s="15" t="s">
        <v>41</v>
      </c>
      <c r="J83" s="15" t="s">
        <v>41</v>
      </c>
      <c r="K83" s="16" t="s">
        <v>42</v>
      </c>
      <c r="L83" s="17" t="s">
        <v>619</v>
      </c>
      <c r="M83" s="18" t="s">
        <v>620</v>
      </c>
      <c r="N83" s="26" t="s">
        <v>621</v>
      </c>
      <c r="O83" s="18" t="s">
        <v>622</v>
      </c>
      <c r="P83" s="18" t="s">
        <v>623</v>
      </c>
      <c r="Q83" s="18" t="s">
        <v>624</v>
      </c>
      <c r="R83" s="18" t="s">
        <v>625</v>
      </c>
      <c r="S83" s="18" t="s">
        <v>626</v>
      </c>
      <c r="T83" s="18" t="s">
        <v>63</v>
      </c>
      <c r="U83" s="18" t="str">
        <f>"2067"</f>
        <v>2067</v>
      </c>
      <c r="V83" s="18" t="str">
        <f>"0289666152"</f>
        <v>0289666152</v>
      </c>
      <c r="W83" s="18" t="str">
        <f>"0411758045"</f>
        <v>0411758045</v>
      </c>
      <c r="X83" s="26" t="s">
        <v>627</v>
      </c>
      <c r="Y83" s="18" t="s">
        <v>619</v>
      </c>
      <c r="Z83" s="18" t="s">
        <v>54</v>
      </c>
      <c r="AA83" s="18">
        <v>92085486844</v>
      </c>
      <c r="AB83" s="18">
        <v>85486844</v>
      </c>
      <c r="AC83" s="18" t="s">
        <v>55</v>
      </c>
    </row>
    <row r="84" spans="1:29" ht="90" customHeight="1" x14ac:dyDescent="0.3">
      <c r="A84" s="16" t="s">
        <v>42</v>
      </c>
      <c r="B84" s="16" t="s">
        <v>42</v>
      </c>
      <c r="C84" s="16" t="s">
        <v>42</v>
      </c>
      <c r="D84" s="16" t="s">
        <v>42</v>
      </c>
      <c r="E84" s="16" t="s">
        <v>42</v>
      </c>
      <c r="F84" s="16" t="s">
        <v>42</v>
      </c>
      <c r="G84" s="16" t="s">
        <v>42</v>
      </c>
      <c r="H84" s="15" t="s">
        <v>41</v>
      </c>
      <c r="I84" s="16" t="s">
        <v>42</v>
      </c>
      <c r="J84" s="16" t="s">
        <v>42</v>
      </c>
      <c r="K84" s="16" t="s">
        <v>42</v>
      </c>
      <c r="L84" s="17" t="s">
        <v>628</v>
      </c>
      <c r="M84" s="18" t="s">
        <v>629</v>
      </c>
      <c r="N84" s="18"/>
      <c r="O84" s="18" t="s">
        <v>630</v>
      </c>
      <c r="P84" s="18" t="s">
        <v>631</v>
      </c>
      <c r="Q84" s="18" t="s">
        <v>632</v>
      </c>
      <c r="R84" s="18" t="s">
        <v>633</v>
      </c>
      <c r="S84" s="18" t="s">
        <v>237</v>
      </c>
      <c r="T84" s="18" t="s">
        <v>634</v>
      </c>
      <c r="U84" s="18" t="str">
        <f>"3000"</f>
        <v>3000</v>
      </c>
      <c r="V84" s="18" t="str">
        <f>"03 9012 3600"</f>
        <v>03 9012 3600</v>
      </c>
      <c r="W84" s="18" t="str">
        <f>""</f>
        <v/>
      </c>
      <c r="X84" s="26" t="s">
        <v>635</v>
      </c>
      <c r="Y84" s="18"/>
      <c r="Z84" s="18" t="s">
        <v>123</v>
      </c>
      <c r="AA84" s="18">
        <v>84615019443</v>
      </c>
      <c r="AB84" s="18">
        <v>131308088</v>
      </c>
      <c r="AC84" s="18" t="s">
        <v>501</v>
      </c>
    </row>
    <row r="85" spans="1:29" ht="90" customHeight="1" x14ac:dyDescent="0.3">
      <c r="A85" s="16" t="s">
        <v>42</v>
      </c>
      <c r="B85" s="16" t="s">
        <v>42</v>
      </c>
      <c r="C85" s="16" t="s">
        <v>42</v>
      </c>
      <c r="D85" s="16" t="s">
        <v>42</v>
      </c>
      <c r="E85" s="16" t="s">
        <v>42</v>
      </c>
      <c r="F85" s="15" t="s">
        <v>41</v>
      </c>
      <c r="G85" s="16" t="s">
        <v>42</v>
      </c>
      <c r="H85" s="16" t="s">
        <v>42</v>
      </c>
      <c r="I85" s="16" t="s">
        <v>42</v>
      </c>
      <c r="J85" s="16" t="s">
        <v>42</v>
      </c>
      <c r="K85" s="16" t="s">
        <v>42</v>
      </c>
      <c r="L85" s="17" t="s">
        <v>636</v>
      </c>
      <c r="M85" s="18" t="s">
        <v>637</v>
      </c>
      <c r="N85" s="26" t="s">
        <v>638</v>
      </c>
      <c r="O85" s="18" t="s">
        <v>639</v>
      </c>
      <c r="P85" s="18" t="s">
        <v>60</v>
      </c>
      <c r="Q85" s="18" t="s">
        <v>640</v>
      </c>
      <c r="R85" s="18"/>
      <c r="S85" s="18" t="s">
        <v>641</v>
      </c>
      <c r="T85" s="18" t="s">
        <v>63</v>
      </c>
      <c r="U85" s="18">
        <v>2040</v>
      </c>
      <c r="V85" s="18" t="s">
        <v>642</v>
      </c>
      <c r="W85" s="18" t="s">
        <v>642</v>
      </c>
      <c r="X85" s="26" t="s">
        <v>643</v>
      </c>
      <c r="Y85" s="18"/>
      <c r="Z85" s="18" t="s">
        <v>54</v>
      </c>
      <c r="AA85" s="18">
        <v>82279762119</v>
      </c>
      <c r="AB85" s="18"/>
      <c r="AC85" s="18" t="s">
        <v>644</v>
      </c>
    </row>
    <row r="86" spans="1:29" ht="90" customHeight="1" x14ac:dyDescent="0.3">
      <c r="A86" s="16" t="s">
        <v>42</v>
      </c>
      <c r="B86" s="16" t="s">
        <v>42</v>
      </c>
      <c r="C86" s="16" t="s">
        <v>42</v>
      </c>
      <c r="D86" s="16" t="s">
        <v>42</v>
      </c>
      <c r="E86" s="16" t="s">
        <v>42</v>
      </c>
      <c r="F86" s="16" t="s">
        <v>42</v>
      </c>
      <c r="G86" s="16" t="s">
        <v>42</v>
      </c>
      <c r="H86" s="15" t="s">
        <v>41</v>
      </c>
      <c r="I86" s="15" t="s">
        <v>41</v>
      </c>
      <c r="J86" s="15" t="s">
        <v>41</v>
      </c>
      <c r="K86" s="16" t="s">
        <v>42</v>
      </c>
      <c r="L86" s="17" t="s">
        <v>645</v>
      </c>
      <c r="M86" s="18" t="s">
        <v>645</v>
      </c>
      <c r="N86" s="26" t="s">
        <v>646</v>
      </c>
      <c r="O86" s="18" t="s">
        <v>2170</v>
      </c>
      <c r="P86" s="18" t="s">
        <v>60</v>
      </c>
      <c r="Q86" s="18" t="s">
        <v>2171</v>
      </c>
      <c r="R86" s="18" t="s">
        <v>2172</v>
      </c>
      <c r="S86" s="18" t="s">
        <v>83</v>
      </c>
      <c r="T86" s="18" t="s">
        <v>63</v>
      </c>
      <c r="U86" s="18">
        <v>2000</v>
      </c>
      <c r="V86" s="18" t="str">
        <f>"(02) 8905 7100"</f>
        <v>(02) 8905 7100</v>
      </c>
      <c r="W86" s="18" t="s">
        <v>2173</v>
      </c>
      <c r="X86" s="26" t="s">
        <v>647</v>
      </c>
      <c r="Y86" s="18"/>
      <c r="Z86" s="18" t="s">
        <v>123</v>
      </c>
      <c r="AA86" s="18">
        <v>87003008820</v>
      </c>
      <c r="AB86" s="30" t="s">
        <v>2174</v>
      </c>
      <c r="AC86" s="18" t="s">
        <v>405</v>
      </c>
    </row>
    <row r="87" spans="1:29" ht="90" customHeight="1" x14ac:dyDescent="0.3">
      <c r="A87" s="16" t="s">
        <v>42</v>
      </c>
      <c r="B87" s="16" t="s">
        <v>42</v>
      </c>
      <c r="C87" s="16" t="s">
        <v>42</v>
      </c>
      <c r="D87" s="16" t="s">
        <v>42</v>
      </c>
      <c r="E87" s="16" t="s">
        <v>42</v>
      </c>
      <c r="F87" s="16" t="s">
        <v>42</v>
      </c>
      <c r="G87" s="16" t="s">
        <v>42</v>
      </c>
      <c r="H87" s="15" t="s">
        <v>41</v>
      </c>
      <c r="I87" s="16" t="s">
        <v>42</v>
      </c>
      <c r="J87" s="16" t="s">
        <v>42</v>
      </c>
      <c r="K87" s="16" t="s">
        <v>42</v>
      </c>
      <c r="L87" s="17" t="s">
        <v>648</v>
      </c>
      <c r="M87" s="18" t="s">
        <v>649</v>
      </c>
      <c r="N87" s="26" t="s">
        <v>650</v>
      </c>
      <c r="O87" s="18" t="s">
        <v>651</v>
      </c>
      <c r="P87" s="18" t="s">
        <v>60</v>
      </c>
      <c r="Q87" s="18" t="s">
        <v>652</v>
      </c>
      <c r="R87" s="18"/>
      <c r="S87" s="18" t="s">
        <v>121</v>
      </c>
      <c r="T87" s="18" t="s">
        <v>63</v>
      </c>
      <c r="U87" s="18">
        <v>2008</v>
      </c>
      <c r="V87" s="18" t="str">
        <f>"02 93192955"</f>
        <v>02 93192955</v>
      </c>
      <c r="W87" s="18" t="str">
        <f>"0438096700"</f>
        <v>0438096700</v>
      </c>
      <c r="X87" s="26" t="s">
        <v>653</v>
      </c>
      <c r="Y87" s="18"/>
      <c r="Z87" s="18" t="s">
        <v>123</v>
      </c>
      <c r="AA87" s="18">
        <v>48942921969</v>
      </c>
      <c r="AB87" s="18">
        <v>2425194</v>
      </c>
      <c r="AC87" s="18" t="s">
        <v>654</v>
      </c>
    </row>
    <row r="88" spans="1:29" ht="90" customHeight="1" x14ac:dyDescent="0.3">
      <c r="A88" s="16" t="s">
        <v>42</v>
      </c>
      <c r="B88" s="16" t="s">
        <v>42</v>
      </c>
      <c r="C88" s="16" t="s">
        <v>42</v>
      </c>
      <c r="D88" s="16" t="s">
        <v>42</v>
      </c>
      <c r="E88" s="16" t="s">
        <v>42</v>
      </c>
      <c r="F88" s="16" t="s">
        <v>42</v>
      </c>
      <c r="G88" s="16" t="s">
        <v>42</v>
      </c>
      <c r="H88" s="15" t="s">
        <v>41</v>
      </c>
      <c r="I88" s="15" t="s">
        <v>41</v>
      </c>
      <c r="J88" s="16" t="s">
        <v>42</v>
      </c>
      <c r="K88" s="16" t="s">
        <v>42</v>
      </c>
      <c r="L88" s="17" t="s">
        <v>655</v>
      </c>
      <c r="M88" s="18" t="s">
        <v>656</v>
      </c>
      <c r="N88" s="26" t="s">
        <v>657</v>
      </c>
      <c r="O88" s="18" t="s">
        <v>658</v>
      </c>
      <c r="P88" s="18" t="s">
        <v>60</v>
      </c>
      <c r="Q88" s="18" t="s">
        <v>659</v>
      </c>
      <c r="R88" s="18"/>
      <c r="S88" s="18" t="s">
        <v>130</v>
      </c>
      <c r="T88" s="18" t="s">
        <v>63</v>
      </c>
      <c r="U88" s="18" t="str">
        <f>"2010"</f>
        <v>2010</v>
      </c>
      <c r="V88" s="18" t="str">
        <f>"0283464500"</f>
        <v>0283464500</v>
      </c>
      <c r="W88" s="18" t="str">
        <f>"0411969537"</f>
        <v>0411969537</v>
      </c>
      <c r="X88" s="26" t="s">
        <v>660</v>
      </c>
      <c r="Y88" s="18" t="s">
        <v>661</v>
      </c>
      <c r="Z88" s="18" t="s">
        <v>123</v>
      </c>
      <c r="AA88" s="18">
        <v>81956706590</v>
      </c>
      <c r="AB88" s="18"/>
      <c r="AC88" s="18" t="s">
        <v>93</v>
      </c>
    </row>
    <row r="89" spans="1:29" ht="90" customHeight="1" x14ac:dyDescent="0.3">
      <c r="A89" s="16" t="s">
        <v>42</v>
      </c>
      <c r="B89" s="16" t="s">
        <v>42</v>
      </c>
      <c r="C89" s="16" t="s">
        <v>42</v>
      </c>
      <c r="D89" s="16" t="s">
        <v>42</v>
      </c>
      <c r="E89" s="16" t="s">
        <v>42</v>
      </c>
      <c r="F89" s="16" t="s">
        <v>42</v>
      </c>
      <c r="G89" s="16" t="s">
        <v>42</v>
      </c>
      <c r="H89" s="15" t="s">
        <v>41</v>
      </c>
      <c r="I89" s="16" t="s">
        <v>42</v>
      </c>
      <c r="J89" s="16" t="s">
        <v>42</v>
      </c>
      <c r="K89" s="16" t="s">
        <v>42</v>
      </c>
      <c r="L89" s="17" t="s">
        <v>662</v>
      </c>
      <c r="M89" s="18" t="s">
        <v>663</v>
      </c>
      <c r="N89" s="26" t="s">
        <v>664</v>
      </c>
      <c r="O89" s="18" t="s">
        <v>665</v>
      </c>
      <c r="P89" s="18" t="s">
        <v>60</v>
      </c>
      <c r="Q89" s="18" t="s">
        <v>666</v>
      </c>
      <c r="R89" s="18"/>
      <c r="S89" s="18" t="s">
        <v>667</v>
      </c>
      <c r="T89" s="18" t="s">
        <v>63</v>
      </c>
      <c r="U89" s="18" t="str">
        <f>"2019"</f>
        <v>2019</v>
      </c>
      <c r="V89" s="18" t="str">
        <f>"0293167715"</f>
        <v>0293167715</v>
      </c>
      <c r="W89" s="18" t="str">
        <f>"0421630776"</f>
        <v>0421630776</v>
      </c>
      <c r="X89" s="26" t="s">
        <v>668</v>
      </c>
      <c r="Y89" s="18" t="s">
        <v>662</v>
      </c>
      <c r="Z89" s="18" t="s">
        <v>54</v>
      </c>
      <c r="AA89" s="18">
        <v>17098309196</v>
      </c>
      <c r="AB89" s="18">
        <v>98309196</v>
      </c>
      <c r="AC89" s="18" t="s">
        <v>501</v>
      </c>
    </row>
    <row r="90" spans="1:29" ht="90" customHeight="1" x14ac:dyDescent="0.3">
      <c r="A90" s="16" t="s">
        <v>42</v>
      </c>
      <c r="B90" s="16" t="s">
        <v>42</v>
      </c>
      <c r="C90" s="16" t="s">
        <v>42</v>
      </c>
      <c r="D90" s="16" t="s">
        <v>42</v>
      </c>
      <c r="E90" s="16" t="s">
        <v>42</v>
      </c>
      <c r="F90" s="16" t="s">
        <v>42</v>
      </c>
      <c r="G90" s="16" t="s">
        <v>42</v>
      </c>
      <c r="H90" s="15" t="s">
        <v>41</v>
      </c>
      <c r="I90" s="16" t="s">
        <v>42</v>
      </c>
      <c r="J90" s="16" t="s">
        <v>42</v>
      </c>
      <c r="K90" s="16" t="s">
        <v>42</v>
      </c>
      <c r="L90" s="17" t="s">
        <v>669</v>
      </c>
      <c r="M90" s="18" t="s">
        <v>670</v>
      </c>
      <c r="N90" s="26" t="s">
        <v>671</v>
      </c>
      <c r="O90" s="18" t="s">
        <v>672</v>
      </c>
      <c r="P90" s="18" t="s">
        <v>60</v>
      </c>
      <c r="Q90" s="18" t="s">
        <v>498</v>
      </c>
      <c r="R90" s="18" t="s">
        <v>673</v>
      </c>
      <c r="S90" s="18" t="s">
        <v>107</v>
      </c>
      <c r="T90" s="18" t="s">
        <v>63</v>
      </c>
      <c r="U90" s="18" t="str">
        <f>"2011"</f>
        <v>2011</v>
      </c>
      <c r="V90" s="18" t="str">
        <f>"282973500"</f>
        <v>282973500</v>
      </c>
      <c r="W90" s="18" t="str">
        <f>"0425224174"</f>
        <v>0425224174</v>
      </c>
      <c r="X90" s="26" t="s">
        <v>674</v>
      </c>
      <c r="Y90" s="18"/>
      <c r="Z90" s="18" t="s">
        <v>54</v>
      </c>
      <c r="AA90" s="18">
        <v>76002733824</v>
      </c>
      <c r="AB90" s="18">
        <v>2733824</v>
      </c>
      <c r="AC90" s="18" t="s">
        <v>539</v>
      </c>
    </row>
    <row r="91" spans="1:29" ht="90" customHeight="1" x14ac:dyDescent="0.3">
      <c r="A91" s="16" t="s">
        <v>42</v>
      </c>
      <c r="B91" s="16" t="s">
        <v>42</v>
      </c>
      <c r="C91" s="16" t="s">
        <v>42</v>
      </c>
      <c r="D91" s="16" t="s">
        <v>42</v>
      </c>
      <c r="E91" s="16" t="s">
        <v>42</v>
      </c>
      <c r="F91" s="16" t="s">
        <v>42</v>
      </c>
      <c r="G91" s="16" t="s">
        <v>42</v>
      </c>
      <c r="H91" s="15" t="s">
        <v>41</v>
      </c>
      <c r="I91" s="16" t="s">
        <v>42</v>
      </c>
      <c r="J91" s="16" t="s">
        <v>42</v>
      </c>
      <c r="K91" s="16" t="s">
        <v>42</v>
      </c>
      <c r="L91" s="17" t="s">
        <v>675</v>
      </c>
      <c r="M91" s="18" t="s">
        <v>676</v>
      </c>
      <c r="N91" s="26" t="s">
        <v>677</v>
      </c>
      <c r="O91" s="18" t="s">
        <v>678</v>
      </c>
      <c r="P91" s="18" t="s">
        <v>679</v>
      </c>
      <c r="Q91" s="18" t="s">
        <v>680</v>
      </c>
      <c r="R91" s="18" t="s">
        <v>681</v>
      </c>
      <c r="S91" s="18" t="s">
        <v>99</v>
      </c>
      <c r="T91" s="18" t="s">
        <v>63</v>
      </c>
      <c r="U91" s="18" t="str">
        <f>"2009"</f>
        <v>2009</v>
      </c>
      <c r="V91" s="18" t="str">
        <f>"0285695000"</f>
        <v>0285695000</v>
      </c>
      <c r="W91" s="18" t="str">
        <f>"0408001778"</f>
        <v>0408001778</v>
      </c>
      <c r="X91" s="26" t="s">
        <v>682</v>
      </c>
      <c r="Y91" s="18" t="s">
        <v>683</v>
      </c>
      <c r="Z91" s="18" t="s">
        <v>213</v>
      </c>
      <c r="AA91" s="18">
        <v>37169328018</v>
      </c>
      <c r="AB91" s="18">
        <v>169328018</v>
      </c>
      <c r="AC91" s="18" t="s">
        <v>684</v>
      </c>
    </row>
    <row r="92" spans="1:29" ht="90" customHeight="1" x14ac:dyDescent="0.3">
      <c r="A92" s="16" t="s">
        <v>42</v>
      </c>
      <c r="B92" s="16" t="s">
        <v>42</v>
      </c>
      <c r="C92" s="16" t="s">
        <v>42</v>
      </c>
      <c r="D92" s="16" t="s">
        <v>42</v>
      </c>
      <c r="E92" s="16" t="s">
        <v>42</v>
      </c>
      <c r="F92" s="16" t="s">
        <v>42</v>
      </c>
      <c r="G92" s="16" t="s">
        <v>42</v>
      </c>
      <c r="H92" s="16" t="s">
        <v>42</v>
      </c>
      <c r="I92" s="15" t="s">
        <v>41</v>
      </c>
      <c r="J92" s="16" t="s">
        <v>42</v>
      </c>
      <c r="K92" s="15" t="s">
        <v>41</v>
      </c>
      <c r="L92" s="17" t="s">
        <v>685</v>
      </c>
      <c r="M92" s="18" t="s">
        <v>686</v>
      </c>
      <c r="N92" s="26" t="s">
        <v>687</v>
      </c>
      <c r="O92" s="18" t="s">
        <v>688</v>
      </c>
      <c r="P92" s="18" t="s">
        <v>689</v>
      </c>
      <c r="Q92" s="18" t="s">
        <v>690</v>
      </c>
      <c r="R92" s="18" t="s">
        <v>691</v>
      </c>
      <c r="S92" s="18" t="s">
        <v>182</v>
      </c>
      <c r="T92" s="18" t="s">
        <v>63</v>
      </c>
      <c r="U92" s="18" t="str">
        <f>"2022"</f>
        <v>2022</v>
      </c>
      <c r="V92" s="18" t="str">
        <f>"0293692075"</f>
        <v>0293692075</v>
      </c>
      <c r="W92" s="18" t="str">
        <f>"0468787892"</f>
        <v>0468787892</v>
      </c>
      <c r="X92" s="26" t="s">
        <v>692</v>
      </c>
      <c r="Y92" s="18"/>
      <c r="Z92" s="18" t="s">
        <v>54</v>
      </c>
      <c r="AA92" s="18">
        <v>88605717351</v>
      </c>
      <c r="AB92" s="18">
        <v>605717351</v>
      </c>
      <c r="AC92" s="18" t="s">
        <v>693</v>
      </c>
    </row>
    <row r="93" spans="1:29" ht="90" customHeight="1" x14ac:dyDescent="0.3">
      <c r="A93" s="16" t="s">
        <v>42</v>
      </c>
      <c r="B93" s="16" t="s">
        <v>42</v>
      </c>
      <c r="C93" s="16" t="s">
        <v>42</v>
      </c>
      <c r="D93" s="16" t="s">
        <v>42</v>
      </c>
      <c r="E93" s="16" t="s">
        <v>42</v>
      </c>
      <c r="F93" s="16" t="s">
        <v>42</v>
      </c>
      <c r="G93" s="16" t="s">
        <v>42</v>
      </c>
      <c r="H93" s="15" t="s">
        <v>41</v>
      </c>
      <c r="I93" s="16" t="s">
        <v>42</v>
      </c>
      <c r="J93" s="16" t="s">
        <v>42</v>
      </c>
      <c r="K93" s="16" t="s">
        <v>42</v>
      </c>
      <c r="L93" s="17" t="s">
        <v>694</v>
      </c>
      <c r="M93" s="18" t="s">
        <v>695</v>
      </c>
      <c r="N93" s="26" t="s">
        <v>696</v>
      </c>
      <c r="O93" s="18" t="s">
        <v>697</v>
      </c>
      <c r="P93" s="18" t="s">
        <v>698</v>
      </c>
      <c r="Q93" s="18" t="s">
        <v>699</v>
      </c>
      <c r="R93" s="18" t="s">
        <v>700</v>
      </c>
      <c r="S93" s="18" t="s">
        <v>701</v>
      </c>
      <c r="T93" s="18" t="s">
        <v>63</v>
      </c>
      <c r="U93" s="18" t="str">
        <f>"2541"</f>
        <v>2541</v>
      </c>
      <c r="V93" s="18" t="str">
        <f>"02 44727388"</f>
        <v>02 44727388</v>
      </c>
      <c r="W93" s="18" t="str">
        <f>"0429743334"</f>
        <v>0429743334</v>
      </c>
      <c r="X93" s="26" t="s">
        <v>702</v>
      </c>
      <c r="Y93" s="18"/>
      <c r="Z93" s="18" t="s">
        <v>123</v>
      </c>
      <c r="AA93" s="18">
        <v>67003163451</v>
      </c>
      <c r="AB93" s="18">
        <v>3163451</v>
      </c>
      <c r="AC93" s="18" t="s">
        <v>703</v>
      </c>
    </row>
    <row r="94" spans="1:29" ht="90" customHeight="1" x14ac:dyDescent="0.3">
      <c r="A94" s="16" t="s">
        <v>42</v>
      </c>
      <c r="B94" s="16" t="s">
        <v>42</v>
      </c>
      <c r="C94" s="16" t="s">
        <v>42</v>
      </c>
      <c r="D94" s="16" t="s">
        <v>42</v>
      </c>
      <c r="E94" s="16" t="s">
        <v>42</v>
      </c>
      <c r="F94" s="16" t="s">
        <v>42</v>
      </c>
      <c r="G94" s="16" t="s">
        <v>42</v>
      </c>
      <c r="H94" s="15" t="s">
        <v>41</v>
      </c>
      <c r="I94" s="16" t="s">
        <v>42</v>
      </c>
      <c r="J94" s="16" t="s">
        <v>42</v>
      </c>
      <c r="K94" s="16" t="s">
        <v>42</v>
      </c>
      <c r="L94" s="17" t="s">
        <v>704</v>
      </c>
      <c r="M94" s="18" t="s">
        <v>705</v>
      </c>
      <c r="N94" s="26" t="s">
        <v>706</v>
      </c>
      <c r="O94" s="18" t="s">
        <v>707</v>
      </c>
      <c r="P94" s="18" t="s">
        <v>60</v>
      </c>
      <c r="Q94" s="18" t="s">
        <v>708</v>
      </c>
      <c r="R94" s="18" t="s">
        <v>709</v>
      </c>
      <c r="S94" s="18" t="s">
        <v>147</v>
      </c>
      <c r="T94" s="18" t="s">
        <v>63</v>
      </c>
      <c r="U94" s="18" t="str">
        <f>"2042"</f>
        <v>2042</v>
      </c>
      <c r="V94" s="18" t="str">
        <f>"02 95501644"</f>
        <v>02 95501644</v>
      </c>
      <c r="W94" s="18" t="str">
        <f>""</f>
        <v/>
      </c>
      <c r="X94" s="26" t="s">
        <v>710</v>
      </c>
      <c r="Y94" s="18"/>
      <c r="Z94" s="18" t="s">
        <v>54</v>
      </c>
      <c r="AA94" s="18">
        <v>81003374178</v>
      </c>
      <c r="AB94" s="18"/>
      <c r="AC94" s="18" t="s">
        <v>711</v>
      </c>
    </row>
    <row r="95" spans="1:29" ht="90" customHeight="1" x14ac:dyDescent="0.35">
      <c r="A95" s="16" t="s">
        <v>42</v>
      </c>
      <c r="B95" s="16" t="s">
        <v>42</v>
      </c>
      <c r="C95" s="16" t="s">
        <v>42</v>
      </c>
      <c r="D95" s="16" t="s">
        <v>42</v>
      </c>
      <c r="E95" s="16" t="s">
        <v>42</v>
      </c>
      <c r="F95" s="16" t="s">
        <v>42</v>
      </c>
      <c r="G95" s="16" t="s">
        <v>42</v>
      </c>
      <c r="H95" s="16" t="s">
        <v>42</v>
      </c>
      <c r="I95" s="16" t="s">
        <v>42</v>
      </c>
      <c r="J95" s="16" t="s">
        <v>42</v>
      </c>
      <c r="K95" s="15" t="s">
        <v>41</v>
      </c>
      <c r="L95" s="17" t="s">
        <v>2053</v>
      </c>
      <c r="M95" s="18" t="s">
        <v>2054</v>
      </c>
      <c r="N95" s="26" t="s">
        <v>2055</v>
      </c>
      <c r="O95" s="18" t="s">
        <v>2057</v>
      </c>
      <c r="P95" s="18" t="s">
        <v>60</v>
      </c>
      <c r="Q95" s="18" t="s">
        <v>708</v>
      </c>
      <c r="R95" s="18" t="s">
        <v>2058</v>
      </c>
      <c r="S95" s="18" t="s">
        <v>121</v>
      </c>
      <c r="T95" s="18" t="s">
        <v>63</v>
      </c>
      <c r="U95" s="18">
        <v>2008</v>
      </c>
      <c r="V95" s="18" t="s">
        <v>2059</v>
      </c>
      <c r="W95" s="18" t="s">
        <v>2060</v>
      </c>
      <c r="X95" s="36" t="s">
        <v>2056</v>
      </c>
      <c r="Y95" s="18"/>
      <c r="Z95" s="18" t="s">
        <v>54</v>
      </c>
      <c r="AA95" s="18">
        <v>60650115307</v>
      </c>
      <c r="AB95" s="18">
        <v>650115307</v>
      </c>
      <c r="AC95" s="18" t="s">
        <v>1987</v>
      </c>
    </row>
    <row r="96" spans="1:29" ht="90" customHeight="1" x14ac:dyDescent="0.3">
      <c r="A96" s="16" t="s">
        <v>42</v>
      </c>
      <c r="B96" s="16" t="s">
        <v>42</v>
      </c>
      <c r="C96" s="16" t="s">
        <v>42</v>
      </c>
      <c r="D96" s="16" t="s">
        <v>42</v>
      </c>
      <c r="E96" s="16" t="s">
        <v>42</v>
      </c>
      <c r="F96" s="16" t="s">
        <v>42</v>
      </c>
      <c r="G96" s="16" t="s">
        <v>42</v>
      </c>
      <c r="H96" s="16" t="s">
        <v>42</v>
      </c>
      <c r="I96" s="16" t="s">
        <v>42</v>
      </c>
      <c r="J96" s="15" t="s">
        <v>41</v>
      </c>
      <c r="K96" s="16" t="s">
        <v>42</v>
      </c>
      <c r="L96" s="17" t="s">
        <v>712</v>
      </c>
      <c r="M96" s="18" t="s">
        <v>713</v>
      </c>
      <c r="N96" s="26" t="s">
        <v>714</v>
      </c>
      <c r="O96" s="18" t="s">
        <v>715</v>
      </c>
      <c r="P96" s="18" t="s">
        <v>716</v>
      </c>
      <c r="Q96" s="18" t="s">
        <v>717</v>
      </c>
      <c r="R96" s="18" t="s">
        <v>718</v>
      </c>
      <c r="S96" s="18" t="s">
        <v>537</v>
      </c>
      <c r="T96" s="18" t="s">
        <v>63</v>
      </c>
      <c r="U96" s="18">
        <v>2007</v>
      </c>
      <c r="V96" s="18" t="s">
        <v>719</v>
      </c>
      <c r="W96" s="18" t="s">
        <v>720</v>
      </c>
      <c r="X96" s="26" t="s">
        <v>721</v>
      </c>
      <c r="Y96" s="18"/>
      <c r="Z96" s="18" t="s">
        <v>54</v>
      </c>
      <c r="AA96" s="18">
        <v>53088175437</v>
      </c>
      <c r="AB96" s="19" t="s">
        <v>722</v>
      </c>
      <c r="AC96" s="18" t="s">
        <v>723</v>
      </c>
    </row>
    <row r="97" spans="1:29" ht="90" customHeight="1" x14ac:dyDescent="0.3">
      <c r="A97" s="16" t="s">
        <v>42</v>
      </c>
      <c r="B97" s="16" t="s">
        <v>42</v>
      </c>
      <c r="C97" s="16" t="s">
        <v>42</v>
      </c>
      <c r="D97" s="16" t="s">
        <v>42</v>
      </c>
      <c r="E97" s="16" t="s">
        <v>42</v>
      </c>
      <c r="F97" s="16" t="s">
        <v>42</v>
      </c>
      <c r="G97" s="16" t="s">
        <v>42</v>
      </c>
      <c r="H97" s="15" t="s">
        <v>41</v>
      </c>
      <c r="I97" s="16" t="s">
        <v>42</v>
      </c>
      <c r="J97" s="16" t="s">
        <v>42</v>
      </c>
      <c r="K97" s="15" t="s">
        <v>41</v>
      </c>
      <c r="L97" s="17" t="s">
        <v>724</v>
      </c>
      <c r="M97" s="18" t="s">
        <v>725</v>
      </c>
      <c r="N97" s="26" t="s">
        <v>726</v>
      </c>
      <c r="O97" s="18" t="s">
        <v>727</v>
      </c>
      <c r="P97" s="18" t="s">
        <v>60</v>
      </c>
      <c r="Q97" s="18" t="s">
        <v>728</v>
      </c>
      <c r="R97" s="18" t="s">
        <v>729</v>
      </c>
      <c r="S97" s="18" t="s">
        <v>130</v>
      </c>
      <c r="T97" s="18" t="s">
        <v>63</v>
      </c>
      <c r="U97" s="18" t="str">
        <f>"2010"</f>
        <v>2010</v>
      </c>
      <c r="V97" s="18" t="str">
        <f>"0296984756"</f>
        <v>0296984756</v>
      </c>
      <c r="W97" s="18" t="str">
        <f>"0403888390"</f>
        <v>0403888390</v>
      </c>
      <c r="X97" s="26" t="s">
        <v>730</v>
      </c>
      <c r="Y97" s="18" t="s">
        <v>724</v>
      </c>
      <c r="Z97" s="18" t="s">
        <v>54</v>
      </c>
      <c r="AA97" s="18">
        <v>31157214592</v>
      </c>
      <c r="AB97" s="18"/>
      <c r="AC97" s="18" t="s">
        <v>731</v>
      </c>
    </row>
    <row r="98" spans="1:29" ht="90" customHeight="1" x14ac:dyDescent="0.3">
      <c r="A98" s="16" t="s">
        <v>42</v>
      </c>
      <c r="B98" s="15" t="s">
        <v>41</v>
      </c>
      <c r="C98" s="16" t="s">
        <v>42</v>
      </c>
      <c r="D98" s="16" t="s">
        <v>42</v>
      </c>
      <c r="E98" s="15" t="s">
        <v>41</v>
      </c>
      <c r="F98" s="16" t="s">
        <v>42</v>
      </c>
      <c r="G98" s="16" t="s">
        <v>42</v>
      </c>
      <c r="H98" s="16" t="s">
        <v>42</v>
      </c>
      <c r="I98" s="15" t="s">
        <v>41</v>
      </c>
      <c r="J98" s="16" t="s">
        <v>42</v>
      </c>
      <c r="K98" s="16" t="s">
        <v>42</v>
      </c>
      <c r="L98" s="17" t="s">
        <v>732</v>
      </c>
      <c r="M98" s="18" t="s">
        <v>733</v>
      </c>
      <c r="N98" s="26" t="s">
        <v>734</v>
      </c>
      <c r="O98" s="18" t="s">
        <v>735</v>
      </c>
      <c r="P98" s="18" t="s">
        <v>736</v>
      </c>
      <c r="Q98" s="18" t="s">
        <v>737</v>
      </c>
      <c r="R98" s="18"/>
      <c r="S98" s="18" t="s">
        <v>83</v>
      </c>
      <c r="T98" s="18" t="s">
        <v>63</v>
      </c>
      <c r="U98" s="18" t="str">
        <f>"2000"</f>
        <v>2000</v>
      </c>
      <c r="V98" s="19" t="s">
        <v>738</v>
      </c>
      <c r="W98" s="19" t="s">
        <v>739</v>
      </c>
      <c r="X98" s="26" t="s">
        <v>740</v>
      </c>
      <c r="Y98" s="18"/>
      <c r="Z98" s="18" t="s">
        <v>741</v>
      </c>
      <c r="AA98" s="18">
        <v>13615087931</v>
      </c>
      <c r="AB98" s="18">
        <v>615087931</v>
      </c>
      <c r="AC98" s="20" t="s">
        <v>742</v>
      </c>
    </row>
    <row r="99" spans="1:29" ht="90" customHeight="1" x14ac:dyDescent="0.3">
      <c r="A99" s="16" t="s">
        <v>42</v>
      </c>
      <c r="B99" s="16" t="s">
        <v>42</v>
      </c>
      <c r="C99" s="16" t="s">
        <v>42</v>
      </c>
      <c r="D99" s="16" t="s">
        <v>42</v>
      </c>
      <c r="E99" s="16" t="s">
        <v>42</v>
      </c>
      <c r="F99" s="16" t="s">
        <v>42</v>
      </c>
      <c r="G99" s="16" t="s">
        <v>42</v>
      </c>
      <c r="H99" s="16" t="s">
        <v>42</v>
      </c>
      <c r="I99" s="16" t="s">
        <v>42</v>
      </c>
      <c r="J99" s="15" t="s">
        <v>41</v>
      </c>
      <c r="K99" s="16" t="s">
        <v>42</v>
      </c>
      <c r="L99" s="22" t="s">
        <v>743</v>
      </c>
      <c r="M99" s="18" t="s">
        <v>744</v>
      </c>
      <c r="N99" s="26" t="s">
        <v>745</v>
      </c>
      <c r="O99" s="18" t="s">
        <v>746</v>
      </c>
      <c r="P99" s="18" t="s">
        <v>747</v>
      </c>
      <c r="Q99" s="18" t="s">
        <v>748</v>
      </c>
      <c r="R99" s="18"/>
      <c r="S99" s="18" t="s">
        <v>749</v>
      </c>
      <c r="T99" s="18" t="s">
        <v>63</v>
      </c>
      <c r="U99" s="18">
        <v>2233</v>
      </c>
      <c r="V99" s="18" t="s">
        <v>750</v>
      </c>
      <c r="W99" s="18" t="s">
        <v>750</v>
      </c>
      <c r="X99" s="26" t="s">
        <v>751</v>
      </c>
      <c r="Y99" s="18" t="s">
        <v>743</v>
      </c>
      <c r="Z99" s="18" t="s">
        <v>54</v>
      </c>
      <c r="AA99" s="18" t="s">
        <v>2046</v>
      </c>
      <c r="AB99" s="18" t="s">
        <v>2047</v>
      </c>
      <c r="AC99" s="18" t="s">
        <v>752</v>
      </c>
    </row>
    <row r="100" spans="1:29" ht="90" customHeight="1" x14ac:dyDescent="0.3">
      <c r="A100" s="16" t="s">
        <v>42</v>
      </c>
      <c r="B100" s="16" t="s">
        <v>42</v>
      </c>
      <c r="C100" s="16" t="s">
        <v>42</v>
      </c>
      <c r="D100" s="16" t="s">
        <v>42</v>
      </c>
      <c r="E100" s="16" t="s">
        <v>42</v>
      </c>
      <c r="F100" s="16" t="s">
        <v>42</v>
      </c>
      <c r="G100" s="16" t="s">
        <v>42</v>
      </c>
      <c r="H100" s="15" t="s">
        <v>41</v>
      </c>
      <c r="I100" s="15" t="s">
        <v>41</v>
      </c>
      <c r="J100" s="16" t="s">
        <v>42</v>
      </c>
      <c r="K100" s="16" t="s">
        <v>42</v>
      </c>
      <c r="L100" s="17" t="s">
        <v>753</v>
      </c>
      <c r="M100" s="18" t="s">
        <v>754</v>
      </c>
      <c r="N100" s="26" t="s">
        <v>755</v>
      </c>
      <c r="O100" s="18" t="s">
        <v>756</v>
      </c>
      <c r="P100" s="18" t="s">
        <v>757</v>
      </c>
      <c r="Q100" s="18" t="s">
        <v>758</v>
      </c>
      <c r="R100" s="18" t="s">
        <v>759</v>
      </c>
      <c r="S100" s="18" t="s">
        <v>83</v>
      </c>
      <c r="T100" s="18" t="s">
        <v>63</v>
      </c>
      <c r="U100" s="18" t="str">
        <f>"2000"</f>
        <v>2000</v>
      </c>
      <c r="V100" s="18" t="str">
        <f>"02 8216 3500"</f>
        <v>02 8216 3500</v>
      </c>
      <c r="W100" s="18" t="str">
        <f>""</f>
        <v/>
      </c>
      <c r="X100" s="26" t="s">
        <v>760</v>
      </c>
      <c r="Y100" s="18"/>
      <c r="Z100" s="18" t="s">
        <v>213</v>
      </c>
      <c r="AA100" s="18">
        <v>54092943032</v>
      </c>
      <c r="AB100" s="18">
        <v>92943032</v>
      </c>
      <c r="AC100" s="18" t="s">
        <v>761</v>
      </c>
    </row>
    <row r="101" spans="1:29" ht="90" customHeight="1" x14ac:dyDescent="0.3">
      <c r="A101" s="16" t="s">
        <v>42</v>
      </c>
      <c r="B101" s="16" t="s">
        <v>42</v>
      </c>
      <c r="C101" s="16" t="s">
        <v>42</v>
      </c>
      <c r="D101" s="16" t="s">
        <v>42</v>
      </c>
      <c r="E101" s="16" t="s">
        <v>42</v>
      </c>
      <c r="F101" s="16" t="s">
        <v>42</v>
      </c>
      <c r="G101" s="16" t="s">
        <v>42</v>
      </c>
      <c r="H101" s="15" t="s">
        <v>41</v>
      </c>
      <c r="I101" s="15" t="s">
        <v>41</v>
      </c>
      <c r="J101" s="16" t="s">
        <v>42</v>
      </c>
      <c r="K101" s="16" t="s">
        <v>42</v>
      </c>
      <c r="L101" s="17" t="s">
        <v>762</v>
      </c>
      <c r="M101" s="18" t="s">
        <v>763</v>
      </c>
      <c r="N101" s="26" t="s">
        <v>764</v>
      </c>
      <c r="O101" s="18" t="s">
        <v>765</v>
      </c>
      <c r="P101" s="18" t="s">
        <v>766</v>
      </c>
      <c r="Q101" s="18" t="s">
        <v>767</v>
      </c>
      <c r="R101" s="18" t="s">
        <v>768</v>
      </c>
      <c r="S101" s="18" t="s">
        <v>83</v>
      </c>
      <c r="T101" s="18" t="s">
        <v>63</v>
      </c>
      <c r="U101" s="18" t="str">
        <f>"2000"</f>
        <v>2000</v>
      </c>
      <c r="V101" s="18" t="str">
        <f>"0282748200"</f>
        <v>0282748200</v>
      </c>
      <c r="W101" s="18" t="str">
        <f>"0417683651"</f>
        <v>0417683651</v>
      </c>
      <c r="X101" s="26" t="s">
        <v>769</v>
      </c>
      <c r="Y101" s="18" t="s">
        <v>770</v>
      </c>
      <c r="Z101" s="18" t="s">
        <v>123</v>
      </c>
      <c r="AA101" s="18">
        <v>19081636900</v>
      </c>
      <c r="AB101" s="18">
        <v>81636900</v>
      </c>
      <c r="AC101" s="18" t="s">
        <v>771</v>
      </c>
    </row>
    <row r="102" spans="1:29" ht="90" customHeight="1" x14ac:dyDescent="0.3">
      <c r="A102" s="16" t="s">
        <v>42</v>
      </c>
      <c r="B102" s="16" t="s">
        <v>42</v>
      </c>
      <c r="C102" s="16" t="s">
        <v>42</v>
      </c>
      <c r="D102" s="16" t="s">
        <v>42</v>
      </c>
      <c r="E102" s="16" t="s">
        <v>42</v>
      </c>
      <c r="F102" s="16" t="s">
        <v>42</v>
      </c>
      <c r="G102" s="16" t="s">
        <v>42</v>
      </c>
      <c r="H102" s="15" t="s">
        <v>41</v>
      </c>
      <c r="I102" s="16" t="s">
        <v>42</v>
      </c>
      <c r="J102" s="16" t="s">
        <v>42</v>
      </c>
      <c r="K102" s="16" t="s">
        <v>42</v>
      </c>
      <c r="L102" s="17" t="s">
        <v>2125</v>
      </c>
      <c r="M102" s="18" t="s">
        <v>2124</v>
      </c>
      <c r="N102" s="37" t="s">
        <v>2127</v>
      </c>
      <c r="O102" s="18" t="s">
        <v>2128</v>
      </c>
      <c r="P102" s="18" t="s">
        <v>772</v>
      </c>
      <c r="Q102" s="18" t="s">
        <v>773</v>
      </c>
      <c r="R102" s="18" t="s">
        <v>774</v>
      </c>
      <c r="S102" s="18" t="s">
        <v>130</v>
      </c>
      <c r="T102" s="18" t="s">
        <v>63</v>
      </c>
      <c r="U102" s="18" t="str">
        <f>"2010"</f>
        <v>2010</v>
      </c>
      <c r="V102" s="18" t="str">
        <f>"92112700"</f>
        <v>92112700</v>
      </c>
      <c r="W102" s="18" t="str">
        <f>""</f>
        <v/>
      </c>
      <c r="X102" s="37" t="s">
        <v>2126</v>
      </c>
      <c r="Y102" s="18"/>
      <c r="Z102" s="18" t="s">
        <v>54</v>
      </c>
      <c r="AA102" s="18">
        <v>63111324353</v>
      </c>
      <c r="AB102" s="18">
        <v>111324353</v>
      </c>
      <c r="AC102" s="18" t="s">
        <v>167</v>
      </c>
    </row>
    <row r="103" spans="1:29" ht="90" customHeight="1" x14ac:dyDescent="0.3">
      <c r="A103" s="16" t="s">
        <v>42</v>
      </c>
      <c r="B103" s="16" t="s">
        <v>42</v>
      </c>
      <c r="C103" s="16" t="s">
        <v>42</v>
      </c>
      <c r="D103" s="16" t="s">
        <v>42</v>
      </c>
      <c r="E103" s="16" t="s">
        <v>42</v>
      </c>
      <c r="F103" s="16" t="s">
        <v>42</v>
      </c>
      <c r="G103" s="16" t="s">
        <v>42</v>
      </c>
      <c r="H103" s="15" t="s">
        <v>41</v>
      </c>
      <c r="I103" s="16" t="s">
        <v>42</v>
      </c>
      <c r="J103" s="16" t="s">
        <v>42</v>
      </c>
      <c r="K103" s="16" t="s">
        <v>42</v>
      </c>
      <c r="L103" s="17" t="s">
        <v>775</v>
      </c>
      <c r="M103" s="18" t="s">
        <v>776</v>
      </c>
      <c r="N103" s="26" t="s">
        <v>777</v>
      </c>
      <c r="O103" s="18" t="s">
        <v>778</v>
      </c>
      <c r="P103" s="18" t="s">
        <v>47</v>
      </c>
      <c r="Q103" s="18" t="s">
        <v>779</v>
      </c>
      <c r="R103" s="18" t="s">
        <v>780</v>
      </c>
      <c r="S103" s="18" t="s">
        <v>83</v>
      </c>
      <c r="T103" s="18" t="s">
        <v>63</v>
      </c>
      <c r="U103" s="18" t="str">
        <f>"2000"</f>
        <v>2000</v>
      </c>
      <c r="V103" s="18" t="str">
        <f>"0292517077"</f>
        <v>0292517077</v>
      </c>
      <c r="W103" s="18" t="str">
        <f>""</f>
        <v/>
      </c>
      <c r="X103" s="26" t="s">
        <v>781</v>
      </c>
      <c r="Y103" s="18"/>
      <c r="Z103" s="18" t="s">
        <v>213</v>
      </c>
      <c r="AA103" s="18">
        <v>28101197219</v>
      </c>
      <c r="AB103" s="18">
        <v>101197219</v>
      </c>
      <c r="AC103" s="18" t="s">
        <v>55</v>
      </c>
    </row>
    <row r="104" spans="1:29" ht="90" customHeight="1" x14ac:dyDescent="0.3">
      <c r="A104" s="16" t="s">
        <v>42</v>
      </c>
      <c r="B104" s="16" t="s">
        <v>42</v>
      </c>
      <c r="C104" s="16" t="s">
        <v>42</v>
      </c>
      <c r="D104" s="16" t="s">
        <v>42</v>
      </c>
      <c r="E104" s="15" t="s">
        <v>41</v>
      </c>
      <c r="F104" s="16" t="s">
        <v>42</v>
      </c>
      <c r="G104" s="15" t="s">
        <v>41</v>
      </c>
      <c r="H104" s="15" t="s">
        <v>41</v>
      </c>
      <c r="I104" s="15" t="s">
        <v>41</v>
      </c>
      <c r="J104" s="16" t="s">
        <v>42</v>
      </c>
      <c r="K104" s="16" t="s">
        <v>42</v>
      </c>
      <c r="L104" s="17" t="s">
        <v>782</v>
      </c>
      <c r="M104" s="18" t="s">
        <v>783</v>
      </c>
      <c r="N104" s="26" t="s">
        <v>784</v>
      </c>
      <c r="O104" s="18" t="s">
        <v>785</v>
      </c>
      <c r="P104" s="18" t="s">
        <v>528</v>
      </c>
      <c r="Q104" s="18" t="s">
        <v>786</v>
      </c>
      <c r="R104" s="18"/>
      <c r="S104" s="18" t="s">
        <v>787</v>
      </c>
      <c r="T104" s="18" t="s">
        <v>788</v>
      </c>
      <c r="U104" s="18" t="str">
        <f>"6160"</f>
        <v>6160</v>
      </c>
      <c r="V104" s="18" t="str">
        <f>"(08) 61110949"</f>
        <v>(08) 61110949</v>
      </c>
      <c r="W104" s="18" t="str">
        <f>"0412978971"</f>
        <v>0412978971</v>
      </c>
      <c r="X104" s="26" t="s">
        <v>789</v>
      </c>
      <c r="Y104" s="18"/>
      <c r="Z104" s="18" t="s">
        <v>54</v>
      </c>
      <c r="AA104" s="18">
        <v>52441299706</v>
      </c>
      <c r="AB104" s="18">
        <v>629843590</v>
      </c>
      <c r="AC104" s="18" t="s">
        <v>790</v>
      </c>
    </row>
    <row r="105" spans="1:29" ht="90" customHeight="1" x14ac:dyDescent="0.3">
      <c r="A105" s="16" t="s">
        <v>42</v>
      </c>
      <c r="B105" s="16" t="s">
        <v>42</v>
      </c>
      <c r="C105" s="16" t="s">
        <v>42</v>
      </c>
      <c r="D105" s="16" t="s">
        <v>42</v>
      </c>
      <c r="E105" s="16" t="s">
        <v>42</v>
      </c>
      <c r="F105" s="16" t="s">
        <v>42</v>
      </c>
      <c r="G105" s="16" t="s">
        <v>42</v>
      </c>
      <c r="H105" s="15" t="s">
        <v>41</v>
      </c>
      <c r="I105" s="16" t="s">
        <v>42</v>
      </c>
      <c r="J105" s="16" t="s">
        <v>42</v>
      </c>
      <c r="K105" s="16" t="s">
        <v>42</v>
      </c>
      <c r="L105" s="17" t="s">
        <v>791</v>
      </c>
      <c r="M105" s="18" t="s">
        <v>792</v>
      </c>
      <c r="N105" s="26" t="s">
        <v>793</v>
      </c>
      <c r="O105" s="18" t="s">
        <v>794</v>
      </c>
      <c r="P105" s="18" t="s">
        <v>60</v>
      </c>
      <c r="Q105" s="18" t="s">
        <v>795</v>
      </c>
      <c r="R105" s="18" t="s">
        <v>795</v>
      </c>
      <c r="S105" s="18" t="s">
        <v>182</v>
      </c>
      <c r="T105" s="18" t="s">
        <v>63</v>
      </c>
      <c r="U105" s="18" t="str">
        <f>"2022"</f>
        <v>2022</v>
      </c>
      <c r="V105" s="18" t="str">
        <f>"02 83835151"</f>
        <v>02 83835151</v>
      </c>
      <c r="W105" s="18" t="str">
        <f>""</f>
        <v/>
      </c>
      <c r="X105" s="26" t="s">
        <v>796</v>
      </c>
      <c r="Y105" s="18" t="s">
        <v>791</v>
      </c>
      <c r="Z105" s="18" t="s">
        <v>123</v>
      </c>
      <c r="AA105" s="18">
        <v>71657008791</v>
      </c>
      <c r="AB105" s="18">
        <v>119065619</v>
      </c>
      <c r="AC105" s="18" t="s">
        <v>797</v>
      </c>
    </row>
    <row r="106" spans="1:29" ht="90" customHeight="1" x14ac:dyDescent="0.3">
      <c r="A106" s="16" t="s">
        <v>42</v>
      </c>
      <c r="B106" s="16" t="s">
        <v>42</v>
      </c>
      <c r="C106" s="16" t="s">
        <v>42</v>
      </c>
      <c r="D106" s="16" t="s">
        <v>42</v>
      </c>
      <c r="E106" s="16" t="s">
        <v>42</v>
      </c>
      <c r="F106" s="16" t="s">
        <v>42</v>
      </c>
      <c r="G106" s="16" t="s">
        <v>42</v>
      </c>
      <c r="H106" s="16" t="s">
        <v>42</v>
      </c>
      <c r="I106" s="16" t="s">
        <v>42</v>
      </c>
      <c r="J106" s="16" t="s">
        <v>42</v>
      </c>
      <c r="K106" s="15" t="s">
        <v>41</v>
      </c>
      <c r="L106" s="17" t="s">
        <v>798</v>
      </c>
      <c r="M106" s="18" t="s">
        <v>799</v>
      </c>
      <c r="N106" s="26" t="s">
        <v>800</v>
      </c>
      <c r="O106" s="18" t="s">
        <v>801</v>
      </c>
      <c r="P106" s="18" t="s">
        <v>60</v>
      </c>
      <c r="Q106" s="18" t="s">
        <v>802</v>
      </c>
      <c r="R106" s="18"/>
      <c r="S106" s="18" t="s">
        <v>130</v>
      </c>
      <c r="T106" s="18" t="s">
        <v>63</v>
      </c>
      <c r="U106" s="18" t="str">
        <f>"2010"</f>
        <v>2010</v>
      </c>
      <c r="V106" s="18" t="str">
        <f>"+61402917235"</f>
        <v>+61402917235</v>
      </c>
      <c r="W106" s="18" t="str">
        <f>"+61402917235"</f>
        <v>+61402917235</v>
      </c>
      <c r="X106" s="26" t="s">
        <v>803</v>
      </c>
      <c r="Y106" s="18"/>
      <c r="Z106" s="18" t="s">
        <v>54</v>
      </c>
      <c r="AA106" s="18">
        <v>43626852506</v>
      </c>
      <c r="AB106" s="18">
        <v>626852506</v>
      </c>
      <c r="AC106" s="18" t="s">
        <v>804</v>
      </c>
    </row>
    <row r="107" spans="1:29" ht="90" customHeight="1" x14ac:dyDescent="0.3">
      <c r="A107" s="16" t="s">
        <v>42</v>
      </c>
      <c r="B107" s="16" t="s">
        <v>42</v>
      </c>
      <c r="C107" s="16" t="s">
        <v>42</v>
      </c>
      <c r="D107" s="16" t="s">
        <v>42</v>
      </c>
      <c r="E107" s="16" t="s">
        <v>42</v>
      </c>
      <c r="F107" s="16" t="s">
        <v>42</v>
      </c>
      <c r="G107" s="16" t="s">
        <v>42</v>
      </c>
      <c r="H107" s="16" t="s">
        <v>42</v>
      </c>
      <c r="I107" s="16" t="s">
        <v>42</v>
      </c>
      <c r="J107" s="15" t="s">
        <v>41</v>
      </c>
      <c r="K107" s="15" t="s">
        <v>41</v>
      </c>
      <c r="L107" s="17" t="s">
        <v>805</v>
      </c>
      <c r="M107" s="18" t="s">
        <v>806</v>
      </c>
      <c r="N107" s="26" t="s">
        <v>807</v>
      </c>
      <c r="O107" s="18" t="s">
        <v>808</v>
      </c>
      <c r="P107" s="18" t="s">
        <v>60</v>
      </c>
      <c r="Q107" s="18" t="s">
        <v>809</v>
      </c>
      <c r="R107" s="18"/>
      <c r="S107" s="18" t="s">
        <v>130</v>
      </c>
      <c r="T107" s="18" t="s">
        <v>63</v>
      </c>
      <c r="U107" s="18" t="str">
        <f>"2010"</f>
        <v>2010</v>
      </c>
      <c r="V107" s="18" t="str">
        <f>"0293318171"</f>
        <v>0293318171</v>
      </c>
      <c r="W107" s="18" t="str">
        <f>"0418267440"</f>
        <v>0418267440</v>
      </c>
      <c r="X107" s="26" t="s">
        <v>810</v>
      </c>
      <c r="Y107" s="18"/>
      <c r="Z107" s="18" t="s">
        <v>54</v>
      </c>
      <c r="AA107" s="18">
        <v>70164830657</v>
      </c>
      <c r="AB107" s="18"/>
      <c r="AC107" s="18" t="s">
        <v>811</v>
      </c>
    </row>
    <row r="108" spans="1:29" ht="90" customHeight="1" x14ac:dyDescent="0.3">
      <c r="A108" s="16" t="s">
        <v>42</v>
      </c>
      <c r="B108" s="16" t="s">
        <v>42</v>
      </c>
      <c r="C108" s="16" t="s">
        <v>42</v>
      </c>
      <c r="D108" s="16" t="s">
        <v>42</v>
      </c>
      <c r="E108" s="16" t="s">
        <v>42</v>
      </c>
      <c r="F108" s="16" t="s">
        <v>42</v>
      </c>
      <c r="G108" s="16" t="s">
        <v>42</v>
      </c>
      <c r="H108" s="15" t="s">
        <v>41</v>
      </c>
      <c r="I108" s="16" t="s">
        <v>42</v>
      </c>
      <c r="J108" s="16" t="s">
        <v>42</v>
      </c>
      <c r="K108" s="16" t="s">
        <v>42</v>
      </c>
      <c r="L108" s="17" t="s">
        <v>2111</v>
      </c>
      <c r="M108" s="18" t="s">
        <v>2119</v>
      </c>
      <c r="N108" s="26" t="s">
        <v>2112</v>
      </c>
      <c r="O108" s="18" t="s">
        <v>2113</v>
      </c>
      <c r="P108" s="18" t="s">
        <v>2114</v>
      </c>
      <c r="Q108" s="18" t="s">
        <v>2115</v>
      </c>
      <c r="R108" s="18"/>
      <c r="S108" s="18" t="s">
        <v>83</v>
      </c>
      <c r="T108" s="18" t="s">
        <v>63</v>
      </c>
      <c r="U108" s="18">
        <v>2000</v>
      </c>
      <c r="V108" s="18" t="s">
        <v>2116</v>
      </c>
      <c r="W108" s="18"/>
      <c r="X108" s="26" t="s">
        <v>2117</v>
      </c>
      <c r="Y108" s="18"/>
      <c r="Z108" s="18" t="s">
        <v>54</v>
      </c>
      <c r="AA108" s="18">
        <v>26165945862</v>
      </c>
      <c r="AB108" s="18">
        <v>165945862</v>
      </c>
      <c r="AC108" s="18" t="s">
        <v>2118</v>
      </c>
    </row>
    <row r="109" spans="1:29" ht="90" customHeight="1" x14ac:dyDescent="0.3">
      <c r="A109" s="16" t="s">
        <v>42</v>
      </c>
      <c r="B109" s="16" t="s">
        <v>42</v>
      </c>
      <c r="C109" s="16" t="s">
        <v>42</v>
      </c>
      <c r="D109" s="16" t="s">
        <v>42</v>
      </c>
      <c r="E109" s="16" t="s">
        <v>42</v>
      </c>
      <c r="F109" s="16" t="s">
        <v>42</v>
      </c>
      <c r="G109" s="16" t="s">
        <v>42</v>
      </c>
      <c r="H109" s="15" t="s">
        <v>41</v>
      </c>
      <c r="I109" s="16" t="s">
        <v>42</v>
      </c>
      <c r="J109" s="16" t="s">
        <v>42</v>
      </c>
      <c r="K109" s="16" t="s">
        <v>42</v>
      </c>
      <c r="L109" s="17" t="s">
        <v>812</v>
      </c>
      <c r="M109" s="18" t="s">
        <v>813</v>
      </c>
      <c r="N109" s="26" t="s">
        <v>814</v>
      </c>
      <c r="O109" s="18" t="s">
        <v>815</v>
      </c>
      <c r="P109" s="18" t="s">
        <v>60</v>
      </c>
      <c r="Q109" s="18" t="s">
        <v>816</v>
      </c>
      <c r="R109" s="18"/>
      <c r="S109" s="18" t="s">
        <v>83</v>
      </c>
      <c r="T109" s="18" t="s">
        <v>63</v>
      </c>
      <c r="U109" s="18" t="str">
        <f>"2000"</f>
        <v>2000</v>
      </c>
      <c r="V109" s="18" t="str">
        <f>"02 96965002"</f>
        <v>02 96965002</v>
      </c>
      <c r="W109" s="18" t="str">
        <f>""</f>
        <v/>
      </c>
      <c r="X109" s="26" t="s">
        <v>817</v>
      </c>
      <c r="Y109" s="18"/>
      <c r="Z109" s="18" t="s">
        <v>123</v>
      </c>
      <c r="AA109" s="18">
        <v>24003926305</v>
      </c>
      <c r="AB109" s="18"/>
      <c r="AC109" s="18" t="s">
        <v>818</v>
      </c>
    </row>
    <row r="110" spans="1:29" ht="90" customHeight="1" x14ac:dyDescent="0.3">
      <c r="A110" s="15" t="s">
        <v>41</v>
      </c>
      <c r="B110" s="15" t="s">
        <v>41</v>
      </c>
      <c r="C110" s="15" t="s">
        <v>41</v>
      </c>
      <c r="D110" s="16" t="s">
        <v>42</v>
      </c>
      <c r="E110" s="15" t="s">
        <v>41</v>
      </c>
      <c r="F110" s="16" t="s">
        <v>42</v>
      </c>
      <c r="G110" s="16" t="s">
        <v>42</v>
      </c>
      <c r="H110" s="15" t="s">
        <v>41</v>
      </c>
      <c r="I110" s="16" t="s">
        <v>42</v>
      </c>
      <c r="J110" s="15" t="s">
        <v>41</v>
      </c>
      <c r="K110" s="16" t="s">
        <v>42</v>
      </c>
      <c r="L110" s="17" t="s">
        <v>819</v>
      </c>
      <c r="M110" s="18" t="s">
        <v>820</v>
      </c>
      <c r="N110" s="26" t="s">
        <v>821</v>
      </c>
      <c r="O110" s="18" t="s">
        <v>822</v>
      </c>
      <c r="P110" s="18" t="s">
        <v>616</v>
      </c>
      <c r="Q110" s="18" t="s">
        <v>823</v>
      </c>
      <c r="R110" s="18" t="s">
        <v>824</v>
      </c>
      <c r="S110" s="18" t="s">
        <v>83</v>
      </c>
      <c r="T110" s="18" t="s">
        <v>63</v>
      </c>
      <c r="U110" s="18" t="str">
        <f>"2000"</f>
        <v>2000</v>
      </c>
      <c r="V110" s="18" t="str">
        <f>"02 9239 7701"</f>
        <v>02 9239 7701</v>
      </c>
      <c r="W110" s="18" t="str">
        <f>"0419 19 12 13"</f>
        <v>0419 19 12 13</v>
      </c>
      <c r="X110" s="26" t="s">
        <v>825</v>
      </c>
      <c r="Y110" s="18" t="s">
        <v>826</v>
      </c>
      <c r="Z110" s="18" t="s">
        <v>85</v>
      </c>
      <c r="AA110" s="18">
        <v>39008488373</v>
      </c>
      <c r="AB110" s="18"/>
      <c r="AC110" s="18" t="s">
        <v>827</v>
      </c>
    </row>
    <row r="111" spans="1:29" ht="90" customHeight="1" x14ac:dyDescent="0.3">
      <c r="A111" s="16" t="s">
        <v>42</v>
      </c>
      <c r="B111" s="16" t="s">
        <v>42</v>
      </c>
      <c r="C111" s="16" t="s">
        <v>42</v>
      </c>
      <c r="D111" s="16" t="s">
        <v>42</v>
      </c>
      <c r="E111" s="15" t="s">
        <v>41</v>
      </c>
      <c r="F111" s="15" t="s">
        <v>41</v>
      </c>
      <c r="G111" s="16" t="s">
        <v>42</v>
      </c>
      <c r="H111" s="16" t="s">
        <v>42</v>
      </c>
      <c r="I111" s="15" t="s">
        <v>41</v>
      </c>
      <c r="J111" s="16" t="s">
        <v>42</v>
      </c>
      <c r="K111" s="15" t="s">
        <v>41</v>
      </c>
      <c r="L111" s="17" t="s">
        <v>828</v>
      </c>
      <c r="M111" s="18" t="s">
        <v>829</v>
      </c>
      <c r="N111" s="26" t="s">
        <v>830</v>
      </c>
      <c r="O111" s="18" t="s">
        <v>831</v>
      </c>
      <c r="P111" s="18" t="s">
        <v>60</v>
      </c>
      <c r="Q111" s="18" t="s">
        <v>832</v>
      </c>
      <c r="R111" s="18"/>
      <c r="S111" s="18" t="s">
        <v>833</v>
      </c>
      <c r="T111" s="18" t="s">
        <v>634</v>
      </c>
      <c r="U111" s="18" t="str">
        <f>"3184"</f>
        <v>3184</v>
      </c>
      <c r="V111" s="18" t="str">
        <f>"+61 (0)448201344"</f>
        <v>+61 (0)448201344</v>
      </c>
      <c r="W111" s="18" t="str">
        <f>"+61 (0)448201344"</f>
        <v>+61 (0)448201344</v>
      </c>
      <c r="X111" s="26" t="s">
        <v>834</v>
      </c>
      <c r="Y111" s="18"/>
      <c r="Z111" s="18" t="s">
        <v>54</v>
      </c>
      <c r="AA111" s="18">
        <v>46117828965</v>
      </c>
      <c r="AB111" s="18">
        <v>123980781</v>
      </c>
      <c r="AC111" s="18" t="s">
        <v>835</v>
      </c>
    </row>
    <row r="112" spans="1:29" ht="90" customHeight="1" x14ac:dyDescent="0.3">
      <c r="A112" s="16" t="s">
        <v>42</v>
      </c>
      <c r="B112" s="16" t="s">
        <v>42</v>
      </c>
      <c r="C112" s="16" t="s">
        <v>42</v>
      </c>
      <c r="D112" s="16" t="s">
        <v>42</v>
      </c>
      <c r="E112" s="16" t="s">
        <v>42</v>
      </c>
      <c r="F112" s="16" t="s">
        <v>42</v>
      </c>
      <c r="G112" s="16" t="s">
        <v>42</v>
      </c>
      <c r="H112" s="16" t="s">
        <v>42</v>
      </c>
      <c r="I112" s="15" t="s">
        <v>41</v>
      </c>
      <c r="J112" s="16" t="s">
        <v>42</v>
      </c>
      <c r="K112" s="16" t="s">
        <v>42</v>
      </c>
      <c r="L112" s="17" t="s">
        <v>836</v>
      </c>
      <c r="M112" s="18" t="s">
        <v>836</v>
      </c>
      <c r="N112" s="26" t="s">
        <v>837</v>
      </c>
      <c r="O112" s="18" t="s">
        <v>838</v>
      </c>
      <c r="P112" s="18" t="s">
        <v>47</v>
      </c>
      <c r="Q112" s="18" t="s">
        <v>839</v>
      </c>
      <c r="R112" s="18" t="s">
        <v>840</v>
      </c>
      <c r="S112" s="18" t="s">
        <v>392</v>
      </c>
      <c r="T112" s="18" t="s">
        <v>63</v>
      </c>
      <c r="U112" s="18" t="str">
        <f>"2060"</f>
        <v>2060</v>
      </c>
      <c r="V112" s="18" t="str">
        <f>"02 8920 8388"</f>
        <v>02 8920 8388</v>
      </c>
      <c r="W112" s="18" t="str">
        <f>"0407007444"</f>
        <v>0407007444</v>
      </c>
      <c r="X112" s="26" t="s">
        <v>841</v>
      </c>
      <c r="Y112" s="18"/>
      <c r="Z112" s="18" t="s">
        <v>54</v>
      </c>
      <c r="AA112" s="18">
        <v>51118781267</v>
      </c>
      <c r="AB112" s="18">
        <v>118781267</v>
      </c>
      <c r="AC112" s="18" t="s">
        <v>842</v>
      </c>
    </row>
    <row r="113" spans="1:29" ht="90" customHeight="1" x14ac:dyDescent="0.3">
      <c r="A113" s="16" t="s">
        <v>42</v>
      </c>
      <c r="B113" s="16" t="s">
        <v>42</v>
      </c>
      <c r="C113" s="16" t="s">
        <v>42</v>
      </c>
      <c r="D113" s="16" t="s">
        <v>42</v>
      </c>
      <c r="E113" s="16" t="s">
        <v>42</v>
      </c>
      <c r="F113" s="16" t="s">
        <v>42</v>
      </c>
      <c r="G113" s="16" t="s">
        <v>42</v>
      </c>
      <c r="H113" s="15" t="s">
        <v>41</v>
      </c>
      <c r="I113" s="16" t="s">
        <v>42</v>
      </c>
      <c r="J113" s="16" t="s">
        <v>42</v>
      </c>
      <c r="K113" s="16" t="s">
        <v>42</v>
      </c>
      <c r="L113" s="17" t="s">
        <v>843</v>
      </c>
      <c r="M113" s="18" t="s">
        <v>844</v>
      </c>
      <c r="N113" s="26" t="s">
        <v>845</v>
      </c>
      <c r="O113" s="18" t="s">
        <v>846</v>
      </c>
      <c r="P113" s="18" t="s">
        <v>60</v>
      </c>
      <c r="Q113" s="18" t="s">
        <v>847</v>
      </c>
      <c r="R113" s="18"/>
      <c r="S113" s="18" t="s">
        <v>848</v>
      </c>
      <c r="T113" s="18" t="s">
        <v>634</v>
      </c>
      <c r="U113" s="18" t="str">
        <f>"3121"</f>
        <v>3121</v>
      </c>
      <c r="V113" s="18" t="str">
        <f>"0390174602"</f>
        <v>0390174602</v>
      </c>
      <c r="W113" s="18" t="str">
        <f>"+61403599265"</f>
        <v>+61403599265</v>
      </c>
      <c r="X113" s="26" t="s">
        <v>849</v>
      </c>
      <c r="Y113" s="18"/>
      <c r="Z113" s="18" t="s">
        <v>54</v>
      </c>
      <c r="AA113" s="18">
        <v>46109290842</v>
      </c>
      <c r="AB113" s="18">
        <v>109290842</v>
      </c>
      <c r="AC113" s="18" t="s">
        <v>850</v>
      </c>
    </row>
    <row r="114" spans="1:29" ht="90" customHeight="1" x14ac:dyDescent="0.3">
      <c r="A114" s="16" t="s">
        <v>42</v>
      </c>
      <c r="B114" s="16" t="s">
        <v>42</v>
      </c>
      <c r="C114" s="16" t="s">
        <v>42</v>
      </c>
      <c r="D114" s="16" t="s">
        <v>42</v>
      </c>
      <c r="E114" s="16" t="s">
        <v>42</v>
      </c>
      <c r="F114" s="16" t="s">
        <v>42</v>
      </c>
      <c r="G114" s="16" t="s">
        <v>42</v>
      </c>
      <c r="H114" s="15" t="s">
        <v>41</v>
      </c>
      <c r="I114" s="16" t="s">
        <v>42</v>
      </c>
      <c r="J114" s="16" t="s">
        <v>42</v>
      </c>
      <c r="K114" s="16" t="s">
        <v>42</v>
      </c>
      <c r="L114" s="17" t="s">
        <v>2146</v>
      </c>
      <c r="M114" s="18" t="s">
        <v>851</v>
      </c>
      <c r="N114" s="18" t="s">
        <v>2147</v>
      </c>
      <c r="O114" s="18" t="s">
        <v>852</v>
      </c>
      <c r="P114" s="18" t="s">
        <v>2148</v>
      </c>
      <c r="Q114" s="18" t="s">
        <v>498</v>
      </c>
      <c r="R114" s="18" t="s">
        <v>2149</v>
      </c>
      <c r="S114" s="18" t="s">
        <v>83</v>
      </c>
      <c r="T114" s="18" t="s">
        <v>63</v>
      </c>
      <c r="U114" s="18" t="str">
        <f>"2000"</f>
        <v>2000</v>
      </c>
      <c r="V114" s="18" t="s">
        <v>2150</v>
      </c>
      <c r="W114" s="18"/>
      <c r="X114" s="37" t="s">
        <v>853</v>
      </c>
      <c r="Y114" s="18"/>
      <c r="Z114" s="18" t="s">
        <v>213</v>
      </c>
      <c r="AA114" s="18">
        <v>40124418364</v>
      </c>
      <c r="AB114" s="18">
        <v>124418364</v>
      </c>
      <c r="AC114" s="18" t="s">
        <v>854</v>
      </c>
    </row>
    <row r="115" spans="1:29" ht="90" customHeight="1" x14ac:dyDescent="0.3">
      <c r="A115" s="15" t="s">
        <v>41</v>
      </c>
      <c r="B115" s="16" t="s">
        <v>42</v>
      </c>
      <c r="C115" s="16" t="s">
        <v>42</v>
      </c>
      <c r="D115" s="16" t="s">
        <v>42</v>
      </c>
      <c r="E115" s="16" t="s">
        <v>42</v>
      </c>
      <c r="F115" s="16" t="s">
        <v>42</v>
      </c>
      <c r="G115" s="16" t="s">
        <v>42</v>
      </c>
      <c r="H115" s="15" t="s">
        <v>41</v>
      </c>
      <c r="I115" s="15" t="s">
        <v>41</v>
      </c>
      <c r="J115" s="15" t="s">
        <v>41</v>
      </c>
      <c r="K115" s="16" t="s">
        <v>42</v>
      </c>
      <c r="L115" s="17" t="s">
        <v>855</v>
      </c>
      <c r="M115" s="18" t="s">
        <v>855</v>
      </c>
      <c r="N115" s="26" t="s">
        <v>856</v>
      </c>
      <c r="O115" s="18" t="s">
        <v>857</v>
      </c>
      <c r="P115" s="18" t="s">
        <v>60</v>
      </c>
      <c r="Q115" s="18" t="s">
        <v>858</v>
      </c>
      <c r="R115" s="18"/>
      <c r="S115" s="18" t="s">
        <v>483</v>
      </c>
      <c r="T115" s="18" t="s">
        <v>63</v>
      </c>
      <c r="U115" s="18" t="str">
        <f>"2011"</f>
        <v>2011</v>
      </c>
      <c r="V115" s="18" t="str">
        <f>"0293614144"</f>
        <v>0293614144</v>
      </c>
      <c r="W115" s="18" t="str">
        <f>""</f>
        <v/>
      </c>
      <c r="X115" s="26" t="s">
        <v>859</v>
      </c>
      <c r="Y115" s="18" t="s">
        <v>860</v>
      </c>
      <c r="Z115" s="18" t="s">
        <v>85</v>
      </c>
      <c r="AA115" s="18">
        <v>76002113779</v>
      </c>
      <c r="AB115" s="18">
        <v>2113779</v>
      </c>
      <c r="AC115" s="18" t="s">
        <v>861</v>
      </c>
    </row>
    <row r="116" spans="1:29" ht="90" customHeight="1" x14ac:dyDescent="0.3">
      <c r="A116" s="46" t="s">
        <v>42</v>
      </c>
      <c r="B116" s="16" t="s">
        <v>42</v>
      </c>
      <c r="C116" s="16" t="s">
        <v>42</v>
      </c>
      <c r="D116" s="16" t="s">
        <v>42</v>
      </c>
      <c r="E116" s="16" t="s">
        <v>42</v>
      </c>
      <c r="F116" s="16" t="s">
        <v>42</v>
      </c>
      <c r="G116" s="16" t="s">
        <v>42</v>
      </c>
      <c r="H116" s="46" t="s">
        <v>42</v>
      </c>
      <c r="I116" s="46" t="s">
        <v>42</v>
      </c>
      <c r="J116" s="46" t="s">
        <v>42</v>
      </c>
      <c r="K116" s="47" t="s">
        <v>41</v>
      </c>
      <c r="L116" s="17" t="s">
        <v>2236</v>
      </c>
      <c r="M116" s="18" t="s">
        <v>2237</v>
      </c>
      <c r="N116" s="26" t="s">
        <v>2238</v>
      </c>
      <c r="O116" s="18" t="s">
        <v>2239</v>
      </c>
      <c r="P116" s="18" t="s">
        <v>60</v>
      </c>
      <c r="Q116" s="18" t="s">
        <v>2240</v>
      </c>
      <c r="R116" s="18"/>
      <c r="S116" s="18" t="s">
        <v>138</v>
      </c>
      <c r="T116" s="18" t="s">
        <v>63</v>
      </c>
      <c r="U116" s="18">
        <v>2016</v>
      </c>
      <c r="V116" s="48" t="s">
        <v>2241</v>
      </c>
      <c r="W116" s="30" t="s">
        <v>2242</v>
      </c>
      <c r="X116" s="26" t="s">
        <v>2243</v>
      </c>
      <c r="Y116" s="18"/>
      <c r="Z116" s="18" t="s">
        <v>54</v>
      </c>
      <c r="AA116" s="18">
        <v>84624106752</v>
      </c>
      <c r="AB116" s="18">
        <v>624106752</v>
      </c>
      <c r="AC116" s="18" t="s">
        <v>2204</v>
      </c>
    </row>
    <row r="117" spans="1:29" ht="90" customHeight="1" x14ac:dyDescent="0.3">
      <c r="A117" s="16" t="s">
        <v>42</v>
      </c>
      <c r="B117" s="16" t="s">
        <v>42</v>
      </c>
      <c r="C117" s="16" t="s">
        <v>42</v>
      </c>
      <c r="D117" s="16" t="s">
        <v>42</v>
      </c>
      <c r="E117" s="16" t="s">
        <v>42</v>
      </c>
      <c r="F117" s="16" t="s">
        <v>42</v>
      </c>
      <c r="G117" s="16" t="s">
        <v>42</v>
      </c>
      <c r="H117" s="15" t="s">
        <v>41</v>
      </c>
      <c r="I117" s="16" t="s">
        <v>42</v>
      </c>
      <c r="J117" s="16" t="s">
        <v>42</v>
      </c>
      <c r="K117" s="16" t="s">
        <v>42</v>
      </c>
      <c r="L117" s="17" t="s">
        <v>862</v>
      </c>
      <c r="M117" s="18" t="s">
        <v>862</v>
      </c>
      <c r="N117" s="26" t="s">
        <v>863</v>
      </c>
      <c r="O117" s="18" t="s">
        <v>864</v>
      </c>
      <c r="P117" s="18" t="s">
        <v>189</v>
      </c>
      <c r="Q117" s="18" t="s">
        <v>865</v>
      </c>
      <c r="R117" s="18"/>
      <c r="S117" s="18" t="s">
        <v>83</v>
      </c>
      <c r="T117" s="18" t="s">
        <v>63</v>
      </c>
      <c r="U117" s="18" t="str">
        <f>"2000"</f>
        <v>2000</v>
      </c>
      <c r="V117" s="18" t="str">
        <f>"0404879821"</f>
        <v>0404879821</v>
      </c>
      <c r="W117" s="18" t="str">
        <f>"0404879821"</f>
        <v>0404879821</v>
      </c>
      <c r="X117" s="26" t="s">
        <v>866</v>
      </c>
      <c r="Y117" s="18"/>
      <c r="Z117" s="18" t="s">
        <v>123</v>
      </c>
      <c r="AA117" s="18">
        <v>94143786592</v>
      </c>
      <c r="AB117" s="18">
        <v>143786592</v>
      </c>
      <c r="AC117" s="18" t="s">
        <v>797</v>
      </c>
    </row>
    <row r="118" spans="1:29" ht="90" customHeight="1" x14ac:dyDescent="0.3">
      <c r="A118" s="16" t="s">
        <v>42</v>
      </c>
      <c r="B118" s="16" t="s">
        <v>42</v>
      </c>
      <c r="C118" s="16" t="s">
        <v>42</v>
      </c>
      <c r="D118" s="16" t="s">
        <v>42</v>
      </c>
      <c r="E118" s="16" t="s">
        <v>42</v>
      </c>
      <c r="F118" s="16" t="s">
        <v>42</v>
      </c>
      <c r="G118" s="16" t="s">
        <v>42</v>
      </c>
      <c r="H118" s="15" t="s">
        <v>41</v>
      </c>
      <c r="I118" s="15" t="s">
        <v>41</v>
      </c>
      <c r="J118" s="15" t="s">
        <v>41</v>
      </c>
      <c r="K118" s="16" t="s">
        <v>42</v>
      </c>
      <c r="L118" s="17" t="s">
        <v>867</v>
      </c>
      <c r="M118" s="18" t="s">
        <v>868</v>
      </c>
      <c r="N118" s="26" t="s">
        <v>869</v>
      </c>
      <c r="O118" s="18" t="s">
        <v>870</v>
      </c>
      <c r="P118" s="18" t="s">
        <v>871</v>
      </c>
      <c r="Q118" s="18" t="s">
        <v>872</v>
      </c>
      <c r="R118" s="18" t="s">
        <v>873</v>
      </c>
      <c r="S118" s="18" t="s">
        <v>83</v>
      </c>
      <c r="T118" s="18" t="s">
        <v>63</v>
      </c>
      <c r="U118" s="18" t="str">
        <f>"2000"</f>
        <v>2000</v>
      </c>
      <c r="V118" s="18" t="str">
        <f>"+61 2 9101 2000"</f>
        <v>+61 2 9101 2000</v>
      </c>
      <c r="W118" s="18" t="str">
        <f>"+61 413 990 052"</f>
        <v>+61 413 990 052</v>
      </c>
      <c r="X118" s="26" t="s">
        <v>874</v>
      </c>
      <c r="Y118" s="18" t="s">
        <v>875</v>
      </c>
      <c r="Z118" s="18" t="s">
        <v>85</v>
      </c>
      <c r="AA118" s="18">
        <v>24007711435</v>
      </c>
      <c r="AB118" s="18">
        <v>7711435</v>
      </c>
      <c r="AC118" s="18" t="s">
        <v>451</v>
      </c>
    </row>
    <row r="119" spans="1:29" ht="90" customHeight="1" x14ac:dyDescent="0.3">
      <c r="A119" s="16" t="s">
        <v>42</v>
      </c>
      <c r="B119" s="16" t="s">
        <v>42</v>
      </c>
      <c r="C119" s="16" t="s">
        <v>42</v>
      </c>
      <c r="D119" s="16" t="s">
        <v>42</v>
      </c>
      <c r="E119" s="16" t="s">
        <v>42</v>
      </c>
      <c r="F119" s="16" t="s">
        <v>42</v>
      </c>
      <c r="G119" s="16" t="s">
        <v>42</v>
      </c>
      <c r="H119" s="15" t="s">
        <v>41</v>
      </c>
      <c r="I119" s="16" t="s">
        <v>42</v>
      </c>
      <c r="J119" s="16" t="s">
        <v>42</v>
      </c>
      <c r="K119" s="16" t="s">
        <v>42</v>
      </c>
      <c r="L119" s="17" t="s">
        <v>876</v>
      </c>
      <c r="M119" s="18" t="s">
        <v>877</v>
      </c>
      <c r="N119" s="26" t="s">
        <v>878</v>
      </c>
      <c r="O119" s="18" t="s">
        <v>879</v>
      </c>
      <c r="P119" s="18" t="s">
        <v>60</v>
      </c>
      <c r="Q119" s="18" t="s">
        <v>880</v>
      </c>
      <c r="R119" s="18"/>
      <c r="S119" s="18" t="s">
        <v>130</v>
      </c>
      <c r="T119" s="18" t="s">
        <v>63</v>
      </c>
      <c r="U119" s="18" t="str">
        <f>"2010"</f>
        <v>2010</v>
      </c>
      <c r="V119" s="18" t="str">
        <f>"0296609329"</f>
        <v>0296609329</v>
      </c>
      <c r="W119" s="18" t="str">
        <f>"0404 420 700"</f>
        <v>0404 420 700</v>
      </c>
      <c r="X119" s="26" t="s">
        <v>881</v>
      </c>
      <c r="Y119" s="18"/>
      <c r="Z119" s="18" t="s">
        <v>213</v>
      </c>
      <c r="AA119" s="18">
        <v>84006394261</v>
      </c>
      <c r="AB119" s="18">
        <v>6394261</v>
      </c>
      <c r="AC119" s="18" t="s">
        <v>55</v>
      </c>
    </row>
    <row r="120" spans="1:29" ht="90" customHeight="1" x14ac:dyDescent="0.3">
      <c r="A120" s="16" t="s">
        <v>42</v>
      </c>
      <c r="B120" s="16" t="s">
        <v>42</v>
      </c>
      <c r="C120" s="16" t="s">
        <v>42</v>
      </c>
      <c r="D120" s="16" t="s">
        <v>42</v>
      </c>
      <c r="E120" s="16" t="s">
        <v>42</v>
      </c>
      <c r="F120" s="16" t="s">
        <v>42</v>
      </c>
      <c r="G120" s="16" t="s">
        <v>42</v>
      </c>
      <c r="H120" s="15" t="s">
        <v>41</v>
      </c>
      <c r="I120" s="15" t="s">
        <v>41</v>
      </c>
      <c r="J120" s="16" t="s">
        <v>42</v>
      </c>
      <c r="K120" s="16" t="s">
        <v>42</v>
      </c>
      <c r="L120" s="17" t="s">
        <v>882</v>
      </c>
      <c r="M120" s="18" t="s">
        <v>883</v>
      </c>
      <c r="N120" s="26" t="s">
        <v>884</v>
      </c>
      <c r="O120" s="18" t="s">
        <v>885</v>
      </c>
      <c r="P120" s="18" t="s">
        <v>60</v>
      </c>
      <c r="Q120" s="18" t="s">
        <v>886</v>
      </c>
      <c r="R120" s="18"/>
      <c r="S120" s="18" t="s">
        <v>130</v>
      </c>
      <c r="T120" s="18" t="s">
        <v>63</v>
      </c>
      <c r="U120" s="18" t="str">
        <f>"2010"</f>
        <v>2010</v>
      </c>
      <c r="V120" s="18" t="str">
        <f>"0292116276"</f>
        <v>0292116276</v>
      </c>
      <c r="W120" s="18" t="str">
        <f>""</f>
        <v/>
      </c>
      <c r="X120" s="26" t="s">
        <v>887</v>
      </c>
      <c r="Y120" s="18"/>
      <c r="Z120" s="18" t="s">
        <v>54</v>
      </c>
      <c r="AA120" s="18">
        <v>36002939406</v>
      </c>
      <c r="AB120" s="18"/>
      <c r="AC120" s="18" t="s">
        <v>55</v>
      </c>
    </row>
    <row r="121" spans="1:29" ht="90" customHeight="1" x14ac:dyDescent="0.3">
      <c r="A121" s="15" t="s">
        <v>41</v>
      </c>
      <c r="B121" s="15" t="s">
        <v>41</v>
      </c>
      <c r="C121" s="15" t="s">
        <v>41</v>
      </c>
      <c r="D121" s="16" t="s">
        <v>42</v>
      </c>
      <c r="E121" s="15" t="s">
        <v>41</v>
      </c>
      <c r="F121" s="16" t="s">
        <v>42</v>
      </c>
      <c r="G121" s="16" t="s">
        <v>42</v>
      </c>
      <c r="H121" s="16" t="s">
        <v>42</v>
      </c>
      <c r="I121" s="16" t="s">
        <v>42</v>
      </c>
      <c r="J121" s="16" t="s">
        <v>42</v>
      </c>
      <c r="K121" s="16" t="s">
        <v>42</v>
      </c>
      <c r="L121" s="17" t="s">
        <v>888</v>
      </c>
      <c r="M121" s="18" t="s">
        <v>888</v>
      </c>
      <c r="N121" s="26" t="s">
        <v>889</v>
      </c>
      <c r="O121" s="18" t="s">
        <v>890</v>
      </c>
      <c r="P121" s="18" t="s">
        <v>528</v>
      </c>
      <c r="Q121" s="18" t="s">
        <v>891</v>
      </c>
      <c r="R121" s="18"/>
      <c r="S121" s="18" t="s">
        <v>892</v>
      </c>
      <c r="T121" s="18" t="s">
        <v>63</v>
      </c>
      <c r="U121" s="18" t="str">
        <f>"2000"</f>
        <v>2000</v>
      </c>
      <c r="V121" s="18" t="str">
        <f>"0292559100"</f>
        <v>0292559100</v>
      </c>
      <c r="W121" s="18" t="str">
        <f>"0409456471"</f>
        <v>0409456471</v>
      </c>
      <c r="X121" s="26" t="s">
        <v>893</v>
      </c>
      <c r="Y121" s="18"/>
      <c r="Z121" s="18" t="s">
        <v>213</v>
      </c>
      <c r="AA121" s="18">
        <v>75085532047</v>
      </c>
      <c r="AB121" s="18">
        <v>85532047</v>
      </c>
      <c r="AC121" s="18" t="s">
        <v>894</v>
      </c>
    </row>
    <row r="122" spans="1:29" ht="90" customHeight="1" x14ac:dyDescent="0.3">
      <c r="A122" s="16" t="s">
        <v>42</v>
      </c>
      <c r="B122" s="16" t="s">
        <v>42</v>
      </c>
      <c r="C122" s="16" t="s">
        <v>42</v>
      </c>
      <c r="D122" s="16" t="s">
        <v>42</v>
      </c>
      <c r="E122" s="16" t="s">
        <v>42</v>
      </c>
      <c r="F122" s="16" t="s">
        <v>42</v>
      </c>
      <c r="G122" s="16" t="s">
        <v>42</v>
      </c>
      <c r="H122" s="16" t="s">
        <v>42</v>
      </c>
      <c r="I122" s="16" t="s">
        <v>42</v>
      </c>
      <c r="J122" s="15" t="s">
        <v>41</v>
      </c>
      <c r="K122" s="16" t="s">
        <v>42</v>
      </c>
      <c r="L122" s="17" t="s">
        <v>895</v>
      </c>
      <c r="M122" s="18" t="s">
        <v>896</v>
      </c>
      <c r="N122" s="26" t="s">
        <v>897</v>
      </c>
      <c r="O122" s="18" t="s">
        <v>898</v>
      </c>
      <c r="P122" s="18" t="s">
        <v>189</v>
      </c>
      <c r="Q122" s="18" t="s">
        <v>899</v>
      </c>
      <c r="R122" s="18"/>
      <c r="S122" s="18" t="s">
        <v>900</v>
      </c>
      <c r="T122" s="34" t="s">
        <v>51</v>
      </c>
      <c r="U122" s="18" t="str">
        <f>"3113"</f>
        <v>3113</v>
      </c>
      <c r="V122" s="18" t="str">
        <f>"03 9844 5422"</f>
        <v>03 9844 5422</v>
      </c>
      <c r="W122" s="18" t="str">
        <f>"0419347266"</f>
        <v>0419347266</v>
      </c>
      <c r="X122" s="26" t="s">
        <v>901</v>
      </c>
      <c r="Y122" s="18" t="s">
        <v>902</v>
      </c>
      <c r="Z122" s="18" t="s">
        <v>54</v>
      </c>
      <c r="AA122" s="18">
        <v>42234234398</v>
      </c>
      <c r="AB122" s="18">
        <v>6256220</v>
      </c>
      <c r="AC122" s="18" t="s">
        <v>903</v>
      </c>
    </row>
    <row r="123" spans="1:29" ht="90" customHeight="1" x14ac:dyDescent="0.3">
      <c r="A123" s="16" t="s">
        <v>42</v>
      </c>
      <c r="B123" s="16" t="s">
        <v>42</v>
      </c>
      <c r="C123" s="16" t="s">
        <v>42</v>
      </c>
      <c r="D123" s="16" t="s">
        <v>42</v>
      </c>
      <c r="E123" s="16" t="s">
        <v>42</v>
      </c>
      <c r="F123" s="16" t="s">
        <v>42</v>
      </c>
      <c r="G123" s="16" t="s">
        <v>42</v>
      </c>
      <c r="H123" s="16" t="s">
        <v>42</v>
      </c>
      <c r="I123" s="16" t="s">
        <v>42</v>
      </c>
      <c r="J123" s="16" t="s">
        <v>42</v>
      </c>
      <c r="K123" s="15" t="s">
        <v>41</v>
      </c>
      <c r="L123" s="17" t="s">
        <v>904</v>
      </c>
      <c r="M123" s="18" t="s">
        <v>905</v>
      </c>
      <c r="N123" s="26" t="s">
        <v>906</v>
      </c>
      <c r="O123" s="18" t="s">
        <v>907</v>
      </c>
      <c r="P123" s="18" t="s">
        <v>60</v>
      </c>
      <c r="Q123" s="18" t="s">
        <v>570</v>
      </c>
      <c r="R123" s="18" t="s">
        <v>908</v>
      </c>
      <c r="S123" s="18" t="s">
        <v>130</v>
      </c>
      <c r="T123" s="18" t="s">
        <v>63</v>
      </c>
      <c r="U123" s="18" t="str">
        <f>"2010"</f>
        <v>2010</v>
      </c>
      <c r="V123" s="18" t="str">
        <f>"0403185970"</f>
        <v>0403185970</v>
      </c>
      <c r="W123" s="18" t="str">
        <f>"0403185970"</f>
        <v>0403185970</v>
      </c>
      <c r="X123" s="26" t="s">
        <v>909</v>
      </c>
      <c r="Y123" s="18" t="s">
        <v>910</v>
      </c>
      <c r="Z123" s="18" t="s">
        <v>54</v>
      </c>
      <c r="AA123" s="18">
        <v>67165662082</v>
      </c>
      <c r="AB123" s="18">
        <v>165662082</v>
      </c>
      <c r="AC123" s="18" t="s">
        <v>911</v>
      </c>
    </row>
    <row r="124" spans="1:29" ht="90" customHeight="1" x14ac:dyDescent="0.3">
      <c r="A124" s="15" t="s">
        <v>41</v>
      </c>
      <c r="B124" s="15" t="s">
        <v>41</v>
      </c>
      <c r="C124" s="15" t="s">
        <v>41</v>
      </c>
      <c r="D124" s="15" t="s">
        <v>41</v>
      </c>
      <c r="E124" s="15" t="s">
        <v>41</v>
      </c>
      <c r="F124" s="16" t="s">
        <v>42</v>
      </c>
      <c r="G124" s="16" t="s">
        <v>42</v>
      </c>
      <c r="H124" s="16" t="s">
        <v>42</v>
      </c>
      <c r="I124" s="16" t="s">
        <v>42</v>
      </c>
      <c r="J124" s="16" t="s">
        <v>42</v>
      </c>
      <c r="K124" s="16" t="s">
        <v>42</v>
      </c>
      <c r="L124" s="17" t="s">
        <v>912</v>
      </c>
      <c r="M124" s="18" t="s">
        <v>913</v>
      </c>
      <c r="N124" s="26" t="s">
        <v>914</v>
      </c>
      <c r="O124" s="18" t="s">
        <v>915</v>
      </c>
      <c r="P124" s="18" t="s">
        <v>47</v>
      </c>
      <c r="Q124" s="18" t="s">
        <v>708</v>
      </c>
      <c r="R124" s="18" t="s">
        <v>916</v>
      </c>
      <c r="S124" s="18" t="s">
        <v>237</v>
      </c>
      <c r="T124" s="18" t="s">
        <v>63</v>
      </c>
      <c r="U124" s="18" t="str">
        <f>"3000"</f>
        <v>3000</v>
      </c>
      <c r="V124" s="18" t="str">
        <f>"0396391504"</f>
        <v>0396391504</v>
      </c>
      <c r="W124" s="18" t="str">
        <f>"0410256958"</f>
        <v>0410256958</v>
      </c>
      <c r="X124" s="26" t="s">
        <v>917</v>
      </c>
      <c r="Y124" s="18" t="s">
        <v>918</v>
      </c>
      <c r="Z124" s="18" t="s">
        <v>123</v>
      </c>
      <c r="AA124" s="18">
        <v>68001220816</v>
      </c>
      <c r="AB124" s="18">
        <v>117083048</v>
      </c>
      <c r="AC124" s="18" t="s">
        <v>76</v>
      </c>
    </row>
    <row r="125" spans="1:29" ht="90" customHeight="1" x14ac:dyDescent="0.3">
      <c r="A125" s="16" t="s">
        <v>42</v>
      </c>
      <c r="B125" s="16" t="s">
        <v>42</v>
      </c>
      <c r="C125" s="16" t="s">
        <v>42</v>
      </c>
      <c r="D125" s="16" t="s">
        <v>42</v>
      </c>
      <c r="E125" s="16" t="s">
        <v>42</v>
      </c>
      <c r="F125" s="16" t="s">
        <v>42</v>
      </c>
      <c r="G125" s="16" t="s">
        <v>42</v>
      </c>
      <c r="H125" s="15" t="s">
        <v>41</v>
      </c>
      <c r="I125" s="16" t="s">
        <v>42</v>
      </c>
      <c r="J125" s="16" t="s">
        <v>42</v>
      </c>
      <c r="K125" s="16" t="s">
        <v>42</v>
      </c>
      <c r="L125" s="17" t="s">
        <v>919</v>
      </c>
      <c r="M125" s="18" t="s">
        <v>920</v>
      </c>
      <c r="N125" s="26" t="s">
        <v>921</v>
      </c>
      <c r="O125" s="18" t="s">
        <v>922</v>
      </c>
      <c r="P125" s="18" t="s">
        <v>923</v>
      </c>
      <c r="Q125" s="18" t="s">
        <v>924</v>
      </c>
      <c r="R125" s="18"/>
      <c r="S125" s="18" t="s">
        <v>925</v>
      </c>
      <c r="T125" s="18" t="s">
        <v>63</v>
      </c>
      <c r="U125" s="18" t="str">
        <f>"2795"</f>
        <v>2795</v>
      </c>
      <c r="V125" s="18" t="str">
        <f>"0297646100"</f>
        <v>0297646100</v>
      </c>
      <c r="W125" s="18" t="str">
        <f>"0420301404"</f>
        <v>0420301404</v>
      </c>
      <c r="X125" s="26" t="s">
        <v>926</v>
      </c>
      <c r="Y125" s="18"/>
      <c r="Z125" s="18" t="s">
        <v>123</v>
      </c>
      <c r="AA125" s="18">
        <v>84115006329</v>
      </c>
      <c r="AB125" s="18">
        <v>115006329</v>
      </c>
      <c r="AC125" s="18" t="s">
        <v>861</v>
      </c>
    </row>
    <row r="126" spans="1:29" ht="90" customHeight="1" x14ac:dyDescent="0.3">
      <c r="A126" s="16" t="s">
        <v>42</v>
      </c>
      <c r="B126" s="16" t="s">
        <v>42</v>
      </c>
      <c r="C126" s="16" t="s">
        <v>42</v>
      </c>
      <c r="D126" s="16" t="s">
        <v>42</v>
      </c>
      <c r="E126" s="16" t="s">
        <v>42</v>
      </c>
      <c r="F126" s="16" t="s">
        <v>42</v>
      </c>
      <c r="G126" s="16" t="s">
        <v>42</v>
      </c>
      <c r="H126" s="15" t="s">
        <v>41</v>
      </c>
      <c r="I126" s="16" t="s">
        <v>42</v>
      </c>
      <c r="J126" s="16" t="s">
        <v>42</v>
      </c>
      <c r="K126" s="16" t="s">
        <v>42</v>
      </c>
      <c r="L126" s="17" t="s">
        <v>927</v>
      </c>
      <c r="M126" s="18" t="s">
        <v>928</v>
      </c>
      <c r="N126" s="26" t="s">
        <v>929</v>
      </c>
      <c r="O126" s="18" t="s">
        <v>930</v>
      </c>
      <c r="P126" s="18" t="s">
        <v>189</v>
      </c>
      <c r="Q126" s="18" t="s">
        <v>931</v>
      </c>
      <c r="R126" s="18" t="s">
        <v>932</v>
      </c>
      <c r="S126" s="18" t="s">
        <v>932</v>
      </c>
      <c r="T126" s="18" t="s">
        <v>63</v>
      </c>
      <c r="U126" s="18">
        <v>2060</v>
      </c>
      <c r="V126" s="18" t="str">
        <f>"02 9290 2722"</f>
        <v>02 9290 2722</v>
      </c>
      <c r="W126" s="18" t="str">
        <f>""</f>
        <v/>
      </c>
      <c r="X126" s="26" t="s">
        <v>933</v>
      </c>
      <c r="Y126" s="18" t="s">
        <v>934</v>
      </c>
      <c r="Z126" s="18" t="s">
        <v>123</v>
      </c>
      <c r="AA126" s="18">
        <v>15083837290</v>
      </c>
      <c r="AB126" s="18"/>
      <c r="AC126" s="18" t="s">
        <v>935</v>
      </c>
    </row>
    <row r="127" spans="1:29" ht="90" customHeight="1" x14ac:dyDescent="0.3">
      <c r="A127" s="15" t="s">
        <v>41</v>
      </c>
      <c r="B127" s="15" t="s">
        <v>41</v>
      </c>
      <c r="C127" s="15" t="s">
        <v>41</v>
      </c>
      <c r="D127" s="15" t="s">
        <v>41</v>
      </c>
      <c r="E127" s="15" t="s">
        <v>41</v>
      </c>
      <c r="F127" s="16" t="s">
        <v>42</v>
      </c>
      <c r="G127" s="16" t="s">
        <v>42</v>
      </c>
      <c r="H127" s="15" t="s">
        <v>41</v>
      </c>
      <c r="I127" s="16" t="s">
        <v>42</v>
      </c>
      <c r="J127" s="16" t="s">
        <v>42</v>
      </c>
      <c r="K127" s="16" t="s">
        <v>42</v>
      </c>
      <c r="L127" s="17" t="s">
        <v>936</v>
      </c>
      <c r="M127" s="18" t="s">
        <v>937</v>
      </c>
      <c r="N127" s="18"/>
      <c r="O127" s="18" t="s">
        <v>938</v>
      </c>
      <c r="P127" s="18" t="s">
        <v>939</v>
      </c>
      <c r="Q127" s="18" t="s">
        <v>940</v>
      </c>
      <c r="R127" s="18"/>
      <c r="S127" s="18" t="s">
        <v>562</v>
      </c>
      <c r="T127" s="18" t="s">
        <v>63</v>
      </c>
      <c r="U127" s="18" t="str">
        <f>"2065"</f>
        <v>2065</v>
      </c>
      <c r="V127" s="18" t="str">
        <f>"0290321663"</f>
        <v>0290321663</v>
      </c>
      <c r="W127" s="18" t="s">
        <v>2069</v>
      </c>
      <c r="X127" s="26" t="s">
        <v>941</v>
      </c>
      <c r="Y127" s="18" t="s">
        <v>942</v>
      </c>
      <c r="Z127" s="18" t="s">
        <v>85</v>
      </c>
      <c r="AA127" s="18">
        <v>37001024095</v>
      </c>
      <c r="AB127" s="18">
        <v>1024095</v>
      </c>
      <c r="AC127" s="18" t="s">
        <v>86</v>
      </c>
    </row>
    <row r="128" spans="1:29" ht="90" customHeight="1" x14ac:dyDescent="0.3">
      <c r="A128" s="16" t="s">
        <v>42</v>
      </c>
      <c r="B128" s="16" t="s">
        <v>42</v>
      </c>
      <c r="C128" s="16" t="s">
        <v>42</v>
      </c>
      <c r="D128" s="16" t="s">
        <v>42</v>
      </c>
      <c r="E128" s="16" t="s">
        <v>42</v>
      </c>
      <c r="F128" s="16" t="s">
        <v>42</v>
      </c>
      <c r="G128" s="16" t="s">
        <v>42</v>
      </c>
      <c r="H128" s="16" t="s">
        <v>42</v>
      </c>
      <c r="I128" s="15" t="s">
        <v>41</v>
      </c>
      <c r="J128" s="15" t="s">
        <v>41</v>
      </c>
      <c r="K128" s="16" t="s">
        <v>42</v>
      </c>
      <c r="L128" s="17" t="s">
        <v>943</v>
      </c>
      <c r="M128" s="18" t="s">
        <v>943</v>
      </c>
      <c r="N128" s="26" t="s">
        <v>944</v>
      </c>
      <c r="O128" s="18" t="s">
        <v>945</v>
      </c>
      <c r="P128" s="18" t="s">
        <v>60</v>
      </c>
      <c r="Q128" s="18" t="s">
        <v>946</v>
      </c>
      <c r="R128" s="18"/>
      <c r="S128" s="18" t="s">
        <v>138</v>
      </c>
      <c r="T128" s="18" t="s">
        <v>63</v>
      </c>
      <c r="U128" s="18" t="str">
        <f>"2016"</f>
        <v>2016</v>
      </c>
      <c r="V128" s="18" t="str">
        <f>"02 9310 5644"</f>
        <v>02 9310 5644</v>
      </c>
      <c r="W128" s="18" t="str">
        <f>"0418 608 613"</f>
        <v>0418 608 613</v>
      </c>
      <c r="X128" s="26" t="s">
        <v>947</v>
      </c>
      <c r="Y128" s="18" t="s">
        <v>948</v>
      </c>
      <c r="Z128" s="18" t="s">
        <v>54</v>
      </c>
      <c r="AA128" s="18">
        <v>30128554638</v>
      </c>
      <c r="AB128" s="18">
        <v>128554638</v>
      </c>
      <c r="AC128" s="18" t="s">
        <v>949</v>
      </c>
    </row>
    <row r="129" spans="1:29" ht="90" customHeight="1" x14ac:dyDescent="0.3">
      <c r="A129" s="16" t="s">
        <v>42</v>
      </c>
      <c r="B129" s="16" t="s">
        <v>42</v>
      </c>
      <c r="C129" s="16" t="s">
        <v>42</v>
      </c>
      <c r="D129" s="16" t="s">
        <v>42</v>
      </c>
      <c r="E129" s="16" t="s">
        <v>42</v>
      </c>
      <c r="F129" s="16" t="s">
        <v>42</v>
      </c>
      <c r="G129" s="16" t="s">
        <v>42</v>
      </c>
      <c r="H129" s="16" t="s">
        <v>42</v>
      </c>
      <c r="I129" s="16" t="s">
        <v>42</v>
      </c>
      <c r="J129" s="15" t="s">
        <v>41</v>
      </c>
      <c r="K129" s="16" t="s">
        <v>42</v>
      </c>
      <c r="L129" s="17" t="s">
        <v>950</v>
      </c>
      <c r="M129" s="18" t="s">
        <v>950</v>
      </c>
      <c r="N129" s="26" t="s">
        <v>951</v>
      </c>
      <c r="O129" s="18" t="s">
        <v>952</v>
      </c>
      <c r="P129" s="18" t="s">
        <v>772</v>
      </c>
      <c r="Q129" s="18" t="s">
        <v>953</v>
      </c>
      <c r="R129" s="18"/>
      <c r="S129" s="18" t="s">
        <v>130</v>
      </c>
      <c r="T129" s="18" t="s">
        <v>63</v>
      </c>
      <c r="U129" s="18" t="str">
        <f>"2010"</f>
        <v>2010</v>
      </c>
      <c r="V129" s="18" t="s">
        <v>2066</v>
      </c>
      <c r="W129" s="18" t="s">
        <v>2068</v>
      </c>
      <c r="X129" s="26" t="s">
        <v>954</v>
      </c>
      <c r="Y129" s="18" t="s">
        <v>950</v>
      </c>
      <c r="Z129" s="18" t="s">
        <v>54</v>
      </c>
      <c r="AA129" s="18">
        <v>62120299229</v>
      </c>
      <c r="AB129" s="18">
        <v>120299229</v>
      </c>
      <c r="AC129" s="18" t="s">
        <v>955</v>
      </c>
    </row>
    <row r="130" spans="1:29" ht="90" customHeight="1" x14ac:dyDescent="0.3">
      <c r="A130" s="16" t="s">
        <v>42</v>
      </c>
      <c r="B130" s="16" t="s">
        <v>42</v>
      </c>
      <c r="C130" s="16" t="s">
        <v>42</v>
      </c>
      <c r="D130" s="16" t="s">
        <v>42</v>
      </c>
      <c r="E130" s="15" t="s">
        <v>41</v>
      </c>
      <c r="F130" s="16" t="s">
        <v>42</v>
      </c>
      <c r="G130" s="16" t="s">
        <v>42</v>
      </c>
      <c r="H130" s="16" t="s">
        <v>42</v>
      </c>
      <c r="I130" s="16" t="s">
        <v>42</v>
      </c>
      <c r="J130" s="16" t="s">
        <v>42</v>
      </c>
      <c r="K130" s="16" t="s">
        <v>42</v>
      </c>
      <c r="L130" s="17" t="s">
        <v>2052</v>
      </c>
      <c r="M130" s="18" t="s">
        <v>2061</v>
      </c>
      <c r="N130" s="26" t="s">
        <v>2062</v>
      </c>
      <c r="O130" s="18" t="s">
        <v>2063</v>
      </c>
      <c r="P130" s="18" t="s">
        <v>2064</v>
      </c>
      <c r="Q130" s="18" t="s">
        <v>320</v>
      </c>
      <c r="R130" s="18" t="s">
        <v>2065</v>
      </c>
      <c r="S130" s="18" t="s">
        <v>83</v>
      </c>
      <c r="T130" s="18" t="s">
        <v>63</v>
      </c>
      <c r="U130" s="18">
        <v>2000</v>
      </c>
      <c r="V130" s="18" t="s">
        <v>2070</v>
      </c>
      <c r="W130" s="18" t="s">
        <v>2070</v>
      </c>
      <c r="X130" s="26" t="s">
        <v>2071</v>
      </c>
      <c r="Y130" s="18"/>
      <c r="Z130" s="18" t="s">
        <v>85</v>
      </c>
      <c r="AA130" s="18">
        <v>62100220479</v>
      </c>
      <c r="AB130" s="18">
        <v>100220479</v>
      </c>
      <c r="AC130" s="18" t="s">
        <v>1987</v>
      </c>
    </row>
    <row r="131" spans="1:29" ht="90" customHeight="1" x14ac:dyDescent="0.3">
      <c r="A131" s="16" t="s">
        <v>42</v>
      </c>
      <c r="B131" s="16" t="s">
        <v>42</v>
      </c>
      <c r="C131" s="16" t="s">
        <v>42</v>
      </c>
      <c r="D131" s="16" t="s">
        <v>42</v>
      </c>
      <c r="E131" s="16" t="s">
        <v>42</v>
      </c>
      <c r="F131" s="15" t="s">
        <v>41</v>
      </c>
      <c r="G131" s="16" t="s">
        <v>42</v>
      </c>
      <c r="H131" s="16" t="s">
        <v>42</v>
      </c>
      <c r="I131" s="16" t="s">
        <v>42</v>
      </c>
      <c r="J131" s="16" t="s">
        <v>42</v>
      </c>
      <c r="K131" s="16" t="s">
        <v>42</v>
      </c>
      <c r="L131" s="17" t="s">
        <v>2196</v>
      </c>
      <c r="M131" s="18" t="s">
        <v>2197</v>
      </c>
      <c r="N131" s="26" t="s">
        <v>2198</v>
      </c>
      <c r="O131" s="18" t="s">
        <v>2199</v>
      </c>
      <c r="P131" s="18" t="s">
        <v>60</v>
      </c>
      <c r="Q131" s="18" t="s">
        <v>708</v>
      </c>
      <c r="R131" s="18" t="s">
        <v>2200</v>
      </c>
      <c r="S131" s="18" t="s">
        <v>305</v>
      </c>
      <c r="T131" s="18" t="s">
        <v>306</v>
      </c>
      <c r="U131" s="18">
        <v>5000</v>
      </c>
      <c r="V131" s="18" t="s">
        <v>2201</v>
      </c>
      <c r="W131" s="18" t="s">
        <v>2202</v>
      </c>
      <c r="X131" s="26" t="s">
        <v>2203</v>
      </c>
      <c r="Y131" s="18"/>
      <c r="Z131" s="18" t="s">
        <v>54</v>
      </c>
      <c r="AA131" s="18">
        <v>56607616295</v>
      </c>
      <c r="AB131" s="18">
        <v>607616295</v>
      </c>
      <c r="AC131" s="18" t="s">
        <v>2204</v>
      </c>
    </row>
    <row r="132" spans="1:29" ht="90" customHeight="1" x14ac:dyDescent="0.3">
      <c r="A132" s="15" t="s">
        <v>41</v>
      </c>
      <c r="B132" s="15" t="s">
        <v>41</v>
      </c>
      <c r="C132" s="16" t="s">
        <v>42</v>
      </c>
      <c r="D132" s="16" t="s">
        <v>42</v>
      </c>
      <c r="E132" s="15" t="s">
        <v>41</v>
      </c>
      <c r="F132" s="16" t="s">
        <v>42</v>
      </c>
      <c r="G132" s="16" t="s">
        <v>42</v>
      </c>
      <c r="H132" s="16" t="s">
        <v>42</v>
      </c>
      <c r="I132" s="16" t="s">
        <v>42</v>
      </c>
      <c r="J132" s="16" t="s">
        <v>42</v>
      </c>
      <c r="K132" s="15" t="s">
        <v>41</v>
      </c>
      <c r="L132" s="17" t="s">
        <v>956</v>
      </c>
      <c r="M132" s="18" t="s">
        <v>957</v>
      </c>
      <c r="N132" s="26" t="s">
        <v>958</v>
      </c>
      <c r="O132" s="18" t="s">
        <v>959</v>
      </c>
      <c r="P132" s="18" t="s">
        <v>60</v>
      </c>
      <c r="Q132" s="18" t="s">
        <v>960</v>
      </c>
      <c r="R132" s="18"/>
      <c r="S132" s="18" t="s">
        <v>90</v>
      </c>
      <c r="T132" s="18" t="s">
        <v>63</v>
      </c>
      <c r="U132" s="18" t="str">
        <f>"2010"</f>
        <v>2010</v>
      </c>
      <c r="V132" s="18" t="s">
        <v>2067</v>
      </c>
      <c r="W132" s="18" t="s">
        <v>2067</v>
      </c>
      <c r="X132" s="26" t="s">
        <v>961</v>
      </c>
      <c r="Y132" s="18" t="s">
        <v>962</v>
      </c>
      <c r="Z132" s="18" t="s">
        <v>54</v>
      </c>
      <c r="AA132" s="18">
        <v>69602577775</v>
      </c>
      <c r="AB132" s="18">
        <v>602577775</v>
      </c>
      <c r="AC132" s="18" t="s">
        <v>86</v>
      </c>
    </row>
    <row r="133" spans="1:29" ht="90" customHeight="1" x14ac:dyDescent="0.3">
      <c r="A133" s="16" t="s">
        <v>42</v>
      </c>
      <c r="B133" s="16" t="s">
        <v>42</v>
      </c>
      <c r="C133" s="16" t="s">
        <v>42</v>
      </c>
      <c r="D133" s="16" t="s">
        <v>42</v>
      </c>
      <c r="E133" s="16" t="s">
        <v>42</v>
      </c>
      <c r="F133" s="16" t="s">
        <v>42</v>
      </c>
      <c r="G133" s="16" t="s">
        <v>42</v>
      </c>
      <c r="H133" s="15" t="s">
        <v>41</v>
      </c>
      <c r="I133" s="15" t="s">
        <v>41</v>
      </c>
      <c r="J133" s="16" t="s">
        <v>42</v>
      </c>
      <c r="K133" s="16" t="s">
        <v>42</v>
      </c>
      <c r="L133" s="17" t="s">
        <v>963</v>
      </c>
      <c r="M133" s="18" t="s">
        <v>964</v>
      </c>
      <c r="N133" s="26" t="s">
        <v>965</v>
      </c>
      <c r="O133" s="18" t="s">
        <v>966</v>
      </c>
      <c r="P133" s="18" t="s">
        <v>967</v>
      </c>
      <c r="Q133" s="18" t="s">
        <v>968</v>
      </c>
      <c r="R133" s="18" t="s">
        <v>969</v>
      </c>
      <c r="S133" s="18" t="s">
        <v>130</v>
      </c>
      <c r="T133" s="18" t="s">
        <v>63</v>
      </c>
      <c r="U133" s="18">
        <v>2010</v>
      </c>
      <c r="V133" s="18" t="str">
        <f>"(02) 9158 3244"</f>
        <v>(02) 9158 3244</v>
      </c>
      <c r="W133" s="18"/>
      <c r="X133" s="26" t="s">
        <v>970</v>
      </c>
      <c r="Y133" s="18"/>
      <c r="Z133" s="18" t="s">
        <v>123</v>
      </c>
      <c r="AA133" s="18">
        <v>43625461789</v>
      </c>
      <c r="AB133" s="18">
        <v>625461789</v>
      </c>
      <c r="AC133" s="18" t="s">
        <v>971</v>
      </c>
    </row>
    <row r="134" spans="1:29" ht="90" customHeight="1" x14ac:dyDescent="0.3">
      <c r="A134" s="16" t="s">
        <v>42</v>
      </c>
      <c r="B134" s="16" t="s">
        <v>42</v>
      </c>
      <c r="C134" s="16" t="s">
        <v>42</v>
      </c>
      <c r="D134" s="16" t="s">
        <v>42</v>
      </c>
      <c r="E134" s="16" t="s">
        <v>42</v>
      </c>
      <c r="F134" s="16" t="s">
        <v>42</v>
      </c>
      <c r="G134" s="16" t="s">
        <v>42</v>
      </c>
      <c r="H134" s="15" t="s">
        <v>41</v>
      </c>
      <c r="I134" s="15" t="s">
        <v>41</v>
      </c>
      <c r="J134" s="16" t="s">
        <v>42</v>
      </c>
      <c r="K134" s="16" t="s">
        <v>42</v>
      </c>
      <c r="L134" s="17" t="s">
        <v>2139</v>
      </c>
      <c r="M134" s="18" t="s">
        <v>2140</v>
      </c>
      <c r="N134" s="26" t="s">
        <v>2141</v>
      </c>
      <c r="O134" s="18" t="s">
        <v>972</v>
      </c>
      <c r="P134" s="18" t="s">
        <v>528</v>
      </c>
      <c r="Q134" s="18" t="s">
        <v>758</v>
      </c>
      <c r="R134" s="18" t="s">
        <v>2142</v>
      </c>
      <c r="S134" s="18" t="s">
        <v>2143</v>
      </c>
      <c r="T134" s="18" t="s">
        <v>63</v>
      </c>
      <c r="U134" s="18" t="str">
        <f>"2010"</f>
        <v>2010</v>
      </c>
      <c r="V134" s="18" t="str">
        <f>"0386620400"</f>
        <v>0386620400</v>
      </c>
      <c r="W134" s="18" t="str">
        <f>"+61 2 8277 0900"</f>
        <v>+61 2 8277 0900</v>
      </c>
      <c r="X134" s="26" t="s">
        <v>2144</v>
      </c>
      <c r="Y134" s="18"/>
      <c r="Z134" s="18" t="s">
        <v>123</v>
      </c>
      <c r="AA134" s="18">
        <v>83006814268</v>
      </c>
      <c r="AB134" s="19" t="s">
        <v>2145</v>
      </c>
      <c r="AC134" s="18" t="s">
        <v>555</v>
      </c>
    </row>
    <row r="135" spans="1:29" ht="90" customHeight="1" x14ac:dyDescent="0.3">
      <c r="A135" s="16" t="s">
        <v>42</v>
      </c>
      <c r="B135" s="16" t="s">
        <v>42</v>
      </c>
      <c r="C135" s="16" t="s">
        <v>42</v>
      </c>
      <c r="D135" s="16" t="s">
        <v>42</v>
      </c>
      <c r="E135" s="16" t="s">
        <v>42</v>
      </c>
      <c r="F135" s="16" t="s">
        <v>42</v>
      </c>
      <c r="G135" s="16" t="s">
        <v>42</v>
      </c>
      <c r="H135" s="15" t="s">
        <v>41</v>
      </c>
      <c r="I135" s="16" t="s">
        <v>42</v>
      </c>
      <c r="J135" s="16" t="s">
        <v>42</v>
      </c>
      <c r="K135" s="16" t="s">
        <v>42</v>
      </c>
      <c r="L135" s="17" t="s">
        <v>973</v>
      </c>
      <c r="M135" s="18" t="s">
        <v>974</v>
      </c>
      <c r="N135" s="26" t="s">
        <v>975</v>
      </c>
      <c r="O135" s="18" t="s">
        <v>976</v>
      </c>
      <c r="P135" s="18" t="s">
        <v>60</v>
      </c>
      <c r="Q135" s="18" t="s">
        <v>977</v>
      </c>
      <c r="R135" s="18" t="s">
        <v>978</v>
      </c>
      <c r="S135" s="18" t="s">
        <v>83</v>
      </c>
      <c r="T135" s="18" t="s">
        <v>63</v>
      </c>
      <c r="U135" s="18" t="str">
        <f>"2000"</f>
        <v>2000</v>
      </c>
      <c r="V135" s="18" t="str">
        <f>"02 9259 5900"</f>
        <v>02 9259 5900</v>
      </c>
      <c r="W135" s="18" t="str">
        <f>""</f>
        <v/>
      </c>
      <c r="X135" s="26" t="s">
        <v>979</v>
      </c>
      <c r="Y135" s="18" t="s">
        <v>980</v>
      </c>
      <c r="Z135" s="18" t="s">
        <v>123</v>
      </c>
      <c r="AA135" s="18">
        <v>28095778886</v>
      </c>
      <c r="AB135" s="18">
        <v>95778886</v>
      </c>
      <c r="AC135" s="18" t="s">
        <v>981</v>
      </c>
    </row>
    <row r="136" spans="1:29" ht="90" customHeight="1" x14ac:dyDescent="0.3">
      <c r="A136" s="16" t="s">
        <v>42</v>
      </c>
      <c r="B136" s="16" t="s">
        <v>42</v>
      </c>
      <c r="C136" s="16" t="s">
        <v>42</v>
      </c>
      <c r="D136" s="16" t="s">
        <v>42</v>
      </c>
      <c r="E136" s="15" t="s">
        <v>41</v>
      </c>
      <c r="F136" s="16" t="s">
        <v>42</v>
      </c>
      <c r="G136" s="16" t="s">
        <v>42</v>
      </c>
      <c r="H136" s="16" t="s">
        <v>42</v>
      </c>
      <c r="I136" s="16" t="s">
        <v>42</v>
      </c>
      <c r="J136" s="16" t="s">
        <v>42</v>
      </c>
      <c r="K136" s="16" t="s">
        <v>42</v>
      </c>
      <c r="L136" s="22" t="s">
        <v>982</v>
      </c>
      <c r="M136" s="18" t="s">
        <v>983</v>
      </c>
      <c r="N136" s="26" t="s">
        <v>984</v>
      </c>
      <c r="O136" s="18" t="s">
        <v>985</v>
      </c>
      <c r="P136" s="18" t="s">
        <v>986</v>
      </c>
      <c r="Q136" s="18" t="s">
        <v>823</v>
      </c>
      <c r="R136" s="18" t="s">
        <v>987</v>
      </c>
      <c r="S136" s="18" t="s">
        <v>83</v>
      </c>
      <c r="T136" s="18" t="s">
        <v>63</v>
      </c>
      <c r="U136" s="18">
        <v>2000</v>
      </c>
      <c r="V136" s="18" t="s">
        <v>988</v>
      </c>
      <c r="W136" s="18" t="s">
        <v>989</v>
      </c>
      <c r="X136" s="26" t="s">
        <v>990</v>
      </c>
      <c r="Y136" s="18" t="s">
        <v>991</v>
      </c>
      <c r="Z136" s="18" t="s">
        <v>123</v>
      </c>
      <c r="AA136" s="18">
        <v>60003687581</v>
      </c>
      <c r="AB136" s="18">
        <v>3687581</v>
      </c>
      <c r="AC136" s="18" t="s">
        <v>493</v>
      </c>
    </row>
    <row r="137" spans="1:29" ht="90" customHeight="1" x14ac:dyDescent="0.3">
      <c r="A137" s="16" t="s">
        <v>42</v>
      </c>
      <c r="B137" s="16" t="s">
        <v>42</v>
      </c>
      <c r="C137" s="16" t="s">
        <v>42</v>
      </c>
      <c r="D137" s="16" t="s">
        <v>42</v>
      </c>
      <c r="E137" s="16" t="s">
        <v>42</v>
      </c>
      <c r="F137" s="16" t="s">
        <v>42</v>
      </c>
      <c r="G137" s="16" t="s">
        <v>42</v>
      </c>
      <c r="H137" s="15" t="s">
        <v>41</v>
      </c>
      <c r="I137" s="16" t="s">
        <v>42</v>
      </c>
      <c r="J137" s="16" t="s">
        <v>42</v>
      </c>
      <c r="K137" s="16" t="s">
        <v>42</v>
      </c>
      <c r="L137" s="17" t="s">
        <v>992</v>
      </c>
      <c r="M137" s="18" t="s">
        <v>993</v>
      </c>
      <c r="N137" s="26" t="s">
        <v>994</v>
      </c>
      <c r="O137" s="18" t="s">
        <v>995</v>
      </c>
      <c r="P137" s="18" t="s">
        <v>996</v>
      </c>
      <c r="Q137" s="18" t="s">
        <v>997</v>
      </c>
      <c r="R137" s="18"/>
      <c r="S137" s="18" t="s">
        <v>998</v>
      </c>
      <c r="T137" s="18" t="s">
        <v>63</v>
      </c>
      <c r="U137" s="18" t="str">
        <f>"2038"</f>
        <v>2038</v>
      </c>
      <c r="V137" s="18" t="str">
        <f>"0295576466"</f>
        <v>0295576466</v>
      </c>
      <c r="W137" s="18" t="str">
        <f>""</f>
        <v/>
      </c>
      <c r="X137" s="26" t="s">
        <v>999</v>
      </c>
      <c r="Y137" s="18" t="s">
        <v>1000</v>
      </c>
      <c r="Z137" s="18" t="s">
        <v>54</v>
      </c>
      <c r="AA137" s="18">
        <v>90093059066</v>
      </c>
      <c r="AB137" s="18">
        <v>93059066</v>
      </c>
      <c r="AC137" s="18" t="s">
        <v>1001</v>
      </c>
    </row>
    <row r="138" spans="1:29" ht="90" customHeight="1" x14ac:dyDescent="0.3">
      <c r="A138" s="16" t="s">
        <v>42</v>
      </c>
      <c r="B138" s="16" t="s">
        <v>42</v>
      </c>
      <c r="C138" s="16" t="s">
        <v>42</v>
      </c>
      <c r="D138" s="16" t="s">
        <v>42</v>
      </c>
      <c r="E138" s="16" t="s">
        <v>42</v>
      </c>
      <c r="F138" s="16" t="s">
        <v>42</v>
      </c>
      <c r="G138" s="16" t="s">
        <v>42</v>
      </c>
      <c r="H138" s="15" t="s">
        <v>41</v>
      </c>
      <c r="I138" s="15" t="s">
        <v>41</v>
      </c>
      <c r="J138" s="15" t="s">
        <v>41</v>
      </c>
      <c r="K138" s="16" t="s">
        <v>42</v>
      </c>
      <c r="L138" s="17" t="s">
        <v>1002</v>
      </c>
      <c r="M138" s="18" t="s">
        <v>1002</v>
      </c>
      <c r="N138" s="26" t="s">
        <v>1003</v>
      </c>
      <c r="O138" s="18" t="s">
        <v>1004</v>
      </c>
      <c r="P138" s="18" t="s">
        <v>60</v>
      </c>
      <c r="Q138" s="18" t="s">
        <v>1005</v>
      </c>
      <c r="R138" s="18"/>
      <c r="S138" s="18" t="s">
        <v>99</v>
      </c>
      <c r="T138" s="18" t="s">
        <v>63</v>
      </c>
      <c r="U138" s="18" t="str">
        <f>"2009"</f>
        <v>2009</v>
      </c>
      <c r="V138" s="18" t="str">
        <f>"0295717900"</f>
        <v>0295717900</v>
      </c>
      <c r="W138" s="18" t="str">
        <f>"0413336812"</f>
        <v>0413336812</v>
      </c>
      <c r="X138" s="26" t="s">
        <v>1006</v>
      </c>
      <c r="Y138" s="18" t="s">
        <v>1007</v>
      </c>
      <c r="Z138" s="18" t="s">
        <v>54</v>
      </c>
      <c r="AA138" s="18">
        <v>81097285633</v>
      </c>
      <c r="AB138" s="18">
        <v>97285633</v>
      </c>
      <c r="AC138" s="18" t="s">
        <v>1008</v>
      </c>
    </row>
    <row r="139" spans="1:29" ht="90" customHeight="1" x14ac:dyDescent="0.3">
      <c r="A139" s="16" t="s">
        <v>42</v>
      </c>
      <c r="B139" s="16" t="s">
        <v>42</v>
      </c>
      <c r="C139" s="16" t="s">
        <v>42</v>
      </c>
      <c r="D139" s="16" t="s">
        <v>42</v>
      </c>
      <c r="E139" s="16" t="s">
        <v>42</v>
      </c>
      <c r="F139" s="16" t="s">
        <v>42</v>
      </c>
      <c r="G139" s="16" t="s">
        <v>42</v>
      </c>
      <c r="H139" s="15" t="s">
        <v>41</v>
      </c>
      <c r="I139" s="16" t="s">
        <v>42</v>
      </c>
      <c r="J139" s="16" t="s">
        <v>42</v>
      </c>
      <c r="K139" s="16" t="s">
        <v>42</v>
      </c>
      <c r="L139" s="17" t="s">
        <v>1009</v>
      </c>
      <c r="M139" s="18" t="s">
        <v>1010</v>
      </c>
      <c r="N139" s="26" t="s">
        <v>1011</v>
      </c>
      <c r="O139" s="18" t="s">
        <v>1012</v>
      </c>
      <c r="P139" s="18" t="s">
        <v>60</v>
      </c>
      <c r="Q139" s="18" t="s">
        <v>1013</v>
      </c>
      <c r="R139" s="18" t="s">
        <v>1014</v>
      </c>
      <c r="S139" s="18" t="s">
        <v>1015</v>
      </c>
      <c r="T139" s="18" t="s">
        <v>63</v>
      </c>
      <c r="U139" s="18" t="str">
        <f>"2037"</f>
        <v>2037</v>
      </c>
      <c r="V139" s="18" t="str">
        <f>"0292125921"</f>
        <v>0292125921</v>
      </c>
      <c r="W139" s="18" t="str">
        <f>"0421171370"</f>
        <v>0421171370</v>
      </c>
      <c r="X139" s="26" t="s">
        <v>1016</v>
      </c>
      <c r="Y139" s="18" t="s">
        <v>1017</v>
      </c>
      <c r="Z139" s="18" t="s">
        <v>54</v>
      </c>
      <c r="AA139" s="18">
        <v>70056310448</v>
      </c>
      <c r="AB139" s="18">
        <v>700563104</v>
      </c>
      <c r="AC139" s="18" t="s">
        <v>1018</v>
      </c>
    </row>
    <row r="140" spans="1:29" ht="90" customHeight="1" x14ac:dyDescent="0.3">
      <c r="A140" s="16" t="s">
        <v>42</v>
      </c>
      <c r="B140" s="16" t="s">
        <v>42</v>
      </c>
      <c r="C140" s="16" t="s">
        <v>42</v>
      </c>
      <c r="D140" s="16" t="s">
        <v>42</v>
      </c>
      <c r="E140" s="16" t="s">
        <v>42</v>
      </c>
      <c r="F140" s="16" t="s">
        <v>42</v>
      </c>
      <c r="G140" s="16" t="s">
        <v>42</v>
      </c>
      <c r="H140" s="15" t="s">
        <v>41</v>
      </c>
      <c r="I140" s="16" t="s">
        <v>42</v>
      </c>
      <c r="J140" s="16" t="s">
        <v>42</v>
      </c>
      <c r="K140" s="15" t="s">
        <v>41</v>
      </c>
      <c r="L140" s="17" t="s">
        <v>1019</v>
      </c>
      <c r="M140" s="18" t="s">
        <v>1020</v>
      </c>
      <c r="N140" s="26" t="s">
        <v>1021</v>
      </c>
      <c r="O140" s="18" t="s">
        <v>1022</v>
      </c>
      <c r="P140" s="18" t="s">
        <v>60</v>
      </c>
      <c r="Q140" s="18" t="s">
        <v>2151</v>
      </c>
      <c r="R140" s="18"/>
      <c r="S140" s="18" t="s">
        <v>2152</v>
      </c>
      <c r="T140" s="18" t="s">
        <v>63</v>
      </c>
      <c r="U140" s="18">
        <v>2204</v>
      </c>
      <c r="V140" s="18" t="str">
        <f>"02 9560 0888"</f>
        <v>02 9560 0888</v>
      </c>
      <c r="W140" s="18" t="str">
        <f>"0400 529 259"</f>
        <v>0400 529 259</v>
      </c>
      <c r="X140" s="26" t="s">
        <v>1023</v>
      </c>
      <c r="Y140" s="18"/>
      <c r="Z140" s="18" t="s">
        <v>54</v>
      </c>
      <c r="AA140" s="18">
        <v>62604087514</v>
      </c>
      <c r="AB140" s="18">
        <v>604087514</v>
      </c>
      <c r="AC140" s="18" t="s">
        <v>2153</v>
      </c>
    </row>
    <row r="141" spans="1:29" ht="90" customHeight="1" x14ac:dyDescent="0.3">
      <c r="A141" s="16" t="s">
        <v>42</v>
      </c>
      <c r="B141" s="16" t="s">
        <v>42</v>
      </c>
      <c r="C141" s="16" t="s">
        <v>42</v>
      </c>
      <c r="D141" s="16" t="s">
        <v>42</v>
      </c>
      <c r="E141" s="16" t="s">
        <v>42</v>
      </c>
      <c r="F141" s="16" t="s">
        <v>42</v>
      </c>
      <c r="G141" s="16" t="s">
        <v>42</v>
      </c>
      <c r="H141" s="15" t="s">
        <v>41</v>
      </c>
      <c r="I141" s="16" t="s">
        <v>42</v>
      </c>
      <c r="J141" s="16" t="s">
        <v>42</v>
      </c>
      <c r="K141" s="16" t="s">
        <v>42</v>
      </c>
      <c r="L141" s="17" t="s">
        <v>1024</v>
      </c>
      <c r="M141" s="18" t="s">
        <v>1025</v>
      </c>
      <c r="N141" s="26" t="s">
        <v>1026</v>
      </c>
      <c r="O141" s="18" t="s">
        <v>1027</v>
      </c>
      <c r="P141" s="18" t="s">
        <v>60</v>
      </c>
      <c r="Q141" s="18" t="s">
        <v>570</v>
      </c>
      <c r="R141" s="18" t="s">
        <v>1028</v>
      </c>
      <c r="S141" s="18" t="s">
        <v>130</v>
      </c>
      <c r="T141" s="18" t="s">
        <v>63</v>
      </c>
      <c r="U141" s="18" t="str">
        <f>"2010"</f>
        <v>2010</v>
      </c>
      <c r="V141" s="18" t="str">
        <f>"02 9310 1555"</f>
        <v>02 9310 1555</v>
      </c>
      <c r="W141" s="18" t="str">
        <f>"0404 090 282"</f>
        <v>0404 090 282</v>
      </c>
      <c r="X141" s="26" t="s">
        <v>1029</v>
      </c>
      <c r="Y141" s="18" t="s">
        <v>1030</v>
      </c>
      <c r="Z141" s="18" t="s">
        <v>54</v>
      </c>
      <c r="AA141" s="18">
        <v>78091173769</v>
      </c>
      <c r="AB141" s="18">
        <v>91173769</v>
      </c>
      <c r="AC141" s="18" t="s">
        <v>539</v>
      </c>
    </row>
    <row r="142" spans="1:29" ht="90" customHeight="1" x14ac:dyDescent="0.3">
      <c r="A142" s="16" t="s">
        <v>42</v>
      </c>
      <c r="B142" s="16" t="s">
        <v>42</v>
      </c>
      <c r="C142" s="16" t="s">
        <v>42</v>
      </c>
      <c r="D142" s="16" t="s">
        <v>42</v>
      </c>
      <c r="E142" s="16" t="s">
        <v>42</v>
      </c>
      <c r="F142" s="16" t="s">
        <v>42</v>
      </c>
      <c r="G142" s="16" t="s">
        <v>42</v>
      </c>
      <c r="H142" s="15" t="s">
        <v>41</v>
      </c>
      <c r="I142" s="15" t="s">
        <v>41</v>
      </c>
      <c r="J142" s="16" t="s">
        <v>42</v>
      </c>
      <c r="K142" s="16" t="s">
        <v>42</v>
      </c>
      <c r="L142" s="17" t="s">
        <v>1031</v>
      </c>
      <c r="M142" s="18" t="s">
        <v>1032</v>
      </c>
      <c r="N142" s="26" t="s">
        <v>1033</v>
      </c>
      <c r="O142" s="18" t="s">
        <v>1034</v>
      </c>
      <c r="P142" s="18" t="s">
        <v>60</v>
      </c>
      <c r="Q142" s="18" t="s">
        <v>1035</v>
      </c>
      <c r="R142" s="18" t="s">
        <v>1036</v>
      </c>
      <c r="S142" s="18" t="s">
        <v>147</v>
      </c>
      <c r="T142" s="18" t="s">
        <v>63</v>
      </c>
      <c r="U142" s="18" t="str">
        <f>"2042"</f>
        <v>2042</v>
      </c>
      <c r="V142" s="18" t="str">
        <f>"0295505200"</f>
        <v>0295505200</v>
      </c>
      <c r="W142" s="18" t="str">
        <f>"0412174415"</f>
        <v>0412174415</v>
      </c>
      <c r="X142" s="26" t="s">
        <v>1037</v>
      </c>
      <c r="Y142" s="18" t="s">
        <v>1031</v>
      </c>
      <c r="Z142" s="18" t="s">
        <v>54</v>
      </c>
      <c r="AA142" s="18">
        <v>33075924097</v>
      </c>
      <c r="AB142" s="18">
        <v>75924097</v>
      </c>
      <c r="AC142" s="18" t="s">
        <v>827</v>
      </c>
    </row>
    <row r="143" spans="1:29" ht="90" customHeight="1" x14ac:dyDescent="0.3">
      <c r="A143" s="15" t="s">
        <v>41</v>
      </c>
      <c r="B143" s="16" t="s">
        <v>42</v>
      </c>
      <c r="C143" s="16" t="s">
        <v>42</v>
      </c>
      <c r="D143" s="16" t="s">
        <v>42</v>
      </c>
      <c r="E143" s="15" t="s">
        <v>41</v>
      </c>
      <c r="F143" s="16" t="s">
        <v>42</v>
      </c>
      <c r="G143" s="16" t="s">
        <v>42</v>
      </c>
      <c r="H143" s="16" t="s">
        <v>42</v>
      </c>
      <c r="I143" s="16" t="s">
        <v>42</v>
      </c>
      <c r="J143" s="16" t="s">
        <v>42</v>
      </c>
      <c r="K143" s="16" t="s">
        <v>42</v>
      </c>
      <c r="L143" s="17" t="s">
        <v>1038</v>
      </c>
      <c r="M143" s="18" t="s">
        <v>1039</v>
      </c>
      <c r="N143" s="26" t="s">
        <v>1040</v>
      </c>
      <c r="O143" s="18" t="s">
        <v>1041</v>
      </c>
      <c r="P143" s="18" t="s">
        <v>60</v>
      </c>
      <c r="Q143" s="18" t="s">
        <v>1042</v>
      </c>
      <c r="R143" s="18"/>
      <c r="S143" s="18" t="s">
        <v>1043</v>
      </c>
      <c r="T143" s="18" t="s">
        <v>63</v>
      </c>
      <c r="U143" s="18" t="str">
        <f>"2037"</f>
        <v>2037</v>
      </c>
      <c r="V143" s="18" t="str">
        <f>"0424448144"</f>
        <v>0424448144</v>
      </c>
      <c r="W143" s="18" t="str">
        <f>"0424448144"</f>
        <v>0424448144</v>
      </c>
      <c r="X143" s="26" t="s">
        <v>1044</v>
      </c>
      <c r="Y143" s="18" t="s">
        <v>1038</v>
      </c>
      <c r="Z143" s="18" t="s">
        <v>54</v>
      </c>
      <c r="AA143" s="18">
        <v>52602137351</v>
      </c>
      <c r="AB143" s="18"/>
      <c r="AC143" s="18" t="s">
        <v>1045</v>
      </c>
    </row>
    <row r="144" spans="1:29" ht="90" customHeight="1" x14ac:dyDescent="0.3">
      <c r="A144" s="16" t="s">
        <v>42</v>
      </c>
      <c r="B144" s="16" t="s">
        <v>42</v>
      </c>
      <c r="C144" s="16" t="s">
        <v>42</v>
      </c>
      <c r="D144" s="16" t="s">
        <v>42</v>
      </c>
      <c r="E144" s="16" t="s">
        <v>42</v>
      </c>
      <c r="F144" s="16" t="s">
        <v>42</v>
      </c>
      <c r="G144" s="16" t="s">
        <v>42</v>
      </c>
      <c r="H144" s="15" t="s">
        <v>41</v>
      </c>
      <c r="I144" s="16" t="s">
        <v>42</v>
      </c>
      <c r="J144" s="16" t="s">
        <v>42</v>
      </c>
      <c r="K144" s="15" t="s">
        <v>41</v>
      </c>
      <c r="L144" s="17" t="s">
        <v>1046</v>
      </c>
      <c r="M144" s="18" t="s">
        <v>1047</v>
      </c>
      <c r="N144" s="26" t="s">
        <v>1048</v>
      </c>
      <c r="O144" s="18" t="s">
        <v>1049</v>
      </c>
      <c r="P144" s="18" t="s">
        <v>60</v>
      </c>
      <c r="Q144" s="18" t="s">
        <v>1050</v>
      </c>
      <c r="R144" s="18"/>
      <c r="S144" s="18" t="s">
        <v>1051</v>
      </c>
      <c r="T144" s="18" t="s">
        <v>63</v>
      </c>
      <c r="U144" s="18" t="str">
        <f>"2289"</f>
        <v>2289</v>
      </c>
      <c r="V144" s="18" t="s">
        <v>2092</v>
      </c>
      <c r="W144" s="18" t="s">
        <v>2093</v>
      </c>
      <c r="X144" s="26" t="s">
        <v>1052</v>
      </c>
      <c r="Y144" s="18" t="s">
        <v>1046</v>
      </c>
      <c r="Z144" s="18" t="s">
        <v>54</v>
      </c>
      <c r="AA144" s="18">
        <v>65161930392</v>
      </c>
      <c r="AB144" s="18">
        <v>161930392</v>
      </c>
      <c r="AC144" s="18" t="s">
        <v>1053</v>
      </c>
    </row>
    <row r="145" spans="1:29" ht="90" customHeight="1" x14ac:dyDescent="0.3">
      <c r="A145" s="16" t="s">
        <v>42</v>
      </c>
      <c r="B145" s="16" t="s">
        <v>42</v>
      </c>
      <c r="C145" s="16" t="s">
        <v>42</v>
      </c>
      <c r="D145" s="16" t="s">
        <v>42</v>
      </c>
      <c r="E145" s="16" t="s">
        <v>42</v>
      </c>
      <c r="F145" s="16" t="s">
        <v>42</v>
      </c>
      <c r="G145" s="16" t="s">
        <v>42</v>
      </c>
      <c r="H145" s="16" t="s">
        <v>42</v>
      </c>
      <c r="I145" s="15" t="s">
        <v>41</v>
      </c>
      <c r="J145" s="16" t="s">
        <v>42</v>
      </c>
      <c r="K145" s="15" t="s">
        <v>41</v>
      </c>
      <c r="L145" s="17" t="s">
        <v>1055</v>
      </c>
      <c r="M145" s="18" t="s">
        <v>1056</v>
      </c>
      <c r="N145" s="26" t="s">
        <v>1057</v>
      </c>
      <c r="O145" s="18" t="s">
        <v>1058</v>
      </c>
      <c r="P145" s="18" t="s">
        <v>1059</v>
      </c>
      <c r="Q145" s="18" t="s">
        <v>1060</v>
      </c>
      <c r="R145" s="18"/>
      <c r="S145" s="18" t="s">
        <v>1061</v>
      </c>
      <c r="T145" s="18" t="s">
        <v>63</v>
      </c>
      <c r="U145" s="18" t="str">
        <f>"2031"</f>
        <v>2031</v>
      </c>
      <c r="V145" s="18" t="s">
        <v>2091</v>
      </c>
      <c r="W145" s="18" t="s">
        <v>2091</v>
      </c>
      <c r="X145" s="26" t="s">
        <v>1062</v>
      </c>
      <c r="Y145" s="18" t="s">
        <v>1055</v>
      </c>
      <c r="Z145" s="18" t="s">
        <v>54</v>
      </c>
      <c r="AA145" s="18">
        <v>33082391224</v>
      </c>
      <c r="AB145" s="18"/>
      <c r="AC145" s="18" t="s">
        <v>1063</v>
      </c>
    </row>
    <row r="146" spans="1:29" ht="90" customHeight="1" x14ac:dyDescent="0.3">
      <c r="A146" s="16" t="s">
        <v>42</v>
      </c>
      <c r="B146" s="16" t="s">
        <v>42</v>
      </c>
      <c r="C146" s="16" t="s">
        <v>42</v>
      </c>
      <c r="D146" s="16" t="s">
        <v>42</v>
      </c>
      <c r="E146" s="16" t="s">
        <v>42</v>
      </c>
      <c r="F146" s="16" t="s">
        <v>42</v>
      </c>
      <c r="G146" s="16" t="s">
        <v>42</v>
      </c>
      <c r="H146" s="15" t="s">
        <v>41</v>
      </c>
      <c r="I146" s="16" t="s">
        <v>42</v>
      </c>
      <c r="J146" s="16" t="s">
        <v>42</v>
      </c>
      <c r="K146" s="16" t="s">
        <v>42</v>
      </c>
      <c r="L146" s="17" t="s">
        <v>1064</v>
      </c>
      <c r="M146" s="18" t="s">
        <v>1065</v>
      </c>
      <c r="N146" s="26" t="s">
        <v>1066</v>
      </c>
      <c r="O146" s="18" t="s">
        <v>2048</v>
      </c>
      <c r="P146" s="18" t="s">
        <v>60</v>
      </c>
      <c r="Q146" s="18" t="s">
        <v>1067</v>
      </c>
      <c r="R146" s="18"/>
      <c r="S146" s="18" t="s">
        <v>130</v>
      </c>
      <c r="T146" s="18" t="s">
        <v>63</v>
      </c>
      <c r="U146" s="18" t="str">
        <f>"2010"</f>
        <v>2010</v>
      </c>
      <c r="V146" s="18" t="str">
        <f>"02 9318 0844"</f>
        <v>02 9318 0844</v>
      </c>
      <c r="W146" s="18" t="str">
        <f>""</f>
        <v/>
      </c>
      <c r="X146" s="26" t="s">
        <v>2049</v>
      </c>
      <c r="Y146" s="18"/>
      <c r="Z146" s="18" t="s">
        <v>54</v>
      </c>
      <c r="AA146" s="18">
        <v>64077405273</v>
      </c>
      <c r="AB146" s="18" t="s">
        <v>2094</v>
      </c>
      <c r="AC146" s="18" t="s">
        <v>731</v>
      </c>
    </row>
    <row r="147" spans="1:29" ht="90" customHeight="1" x14ac:dyDescent="0.3">
      <c r="A147" s="16" t="s">
        <v>42</v>
      </c>
      <c r="B147" s="16" t="s">
        <v>42</v>
      </c>
      <c r="C147" s="16" t="s">
        <v>42</v>
      </c>
      <c r="D147" s="16" t="s">
        <v>42</v>
      </c>
      <c r="E147" s="16" t="s">
        <v>42</v>
      </c>
      <c r="F147" s="15" t="s">
        <v>41</v>
      </c>
      <c r="G147" s="16" t="s">
        <v>42</v>
      </c>
      <c r="H147" s="16" t="s">
        <v>42</v>
      </c>
      <c r="I147" s="16" t="s">
        <v>42</v>
      </c>
      <c r="J147" s="16" t="s">
        <v>42</v>
      </c>
      <c r="K147" s="16" t="s">
        <v>42</v>
      </c>
      <c r="L147" s="17" t="s">
        <v>2223</v>
      </c>
      <c r="M147" s="18" t="s">
        <v>2224</v>
      </c>
      <c r="N147" s="26" t="s">
        <v>2225</v>
      </c>
      <c r="O147" s="18" t="s">
        <v>2226</v>
      </c>
      <c r="P147" s="18" t="s">
        <v>60</v>
      </c>
      <c r="Q147" s="18" t="s">
        <v>2227</v>
      </c>
      <c r="R147" s="18"/>
      <c r="S147" s="18" t="s">
        <v>130</v>
      </c>
      <c r="T147" s="18" t="s">
        <v>63</v>
      </c>
      <c r="U147" s="18">
        <v>2010</v>
      </c>
      <c r="V147" s="18" t="s">
        <v>2228</v>
      </c>
      <c r="W147" s="18" t="s">
        <v>2229</v>
      </c>
      <c r="X147" s="26" t="s">
        <v>2230</v>
      </c>
      <c r="Y147" s="18"/>
      <c r="Z147" s="18" t="s">
        <v>54</v>
      </c>
      <c r="AA147" s="18">
        <v>67132939318</v>
      </c>
      <c r="AB147" s="18">
        <v>132939318</v>
      </c>
      <c r="AC147" s="18" t="s">
        <v>2204</v>
      </c>
    </row>
    <row r="148" spans="1:29" ht="90" customHeight="1" x14ac:dyDescent="0.3">
      <c r="A148" s="15" t="s">
        <v>41</v>
      </c>
      <c r="B148" s="15" t="s">
        <v>41</v>
      </c>
      <c r="C148" s="15" t="s">
        <v>41</v>
      </c>
      <c r="D148" s="15" t="s">
        <v>41</v>
      </c>
      <c r="E148" s="16" t="s">
        <v>42</v>
      </c>
      <c r="F148" s="16" t="s">
        <v>42</v>
      </c>
      <c r="G148" s="16" t="s">
        <v>42</v>
      </c>
      <c r="H148" s="16" t="s">
        <v>42</v>
      </c>
      <c r="I148" s="16" t="s">
        <v>42</v>
      </c>
      <c r="J148" s="16" t="s">
        <v>42</v>
      </c>
      <c r="K148" s="16" t="s">
        <v>42</v>
      </c>
      <c r="L148" s="17" t="s">
        <v>1068</v>
      </c>
      <c r="M148" s="18" t="s">
        <v>1069</v>
      </c>
      <c r="N148" s="26" t="s">
        <v>1070</v>
      </c>
      <c r="O148" s="18" t="s">
        <v>1071</v>
      </c>
      <c r="P148" s="18" t="s">
        <v>335</v>
      </c>
      <c r="Q148" s="18" t="s">
        <v>1072</v>
      </c>
      <c r="R148" s="18"/>
      <c r="S148" s="18" t="s">
        <v>83</v>
      </c>
      <c r="T148" s="18" t="s">
        <v>63</v>
      </c>
      <c r="U148" s="18" t="str">
        <f>"2000"</f>
        <v>2000</v>
      </c>
      <c r="V148" s="18" t="str">
        <f>"(02) 9126 8010"</f>
        <v>(02) 9126 8010</v>
      </c>
      <c r="W148" s="18" t="str">
        <f>"0431543079"</f>
        <v>0431543079</v>
      </c>
      <c r="X148" s="26" t="s">
        <v>1073</v>
      </c>
      <c r="Y148" s="18"/>
      <c r="Z148" s="18" t="s">
        <v>123</v>
      </c>
      <c r="AA148" s="18">
        <v>11139502891</v>
      </c>
      <c r="AB148" s="18">
        <v>139502891</v>
      </c>
      <c r="AC148" s="18" t="s">
        <v>1074</v>
      </c>
    </row>
    <row r="149" spans="1:29" ht="90" customHeight="1" x14ac:dyDescent="0.3">
      <c r="A149" s="16" t="s">
        <v>42</v>
      </c>
      <c r="B149" s="16" t="s">
        <v>42</v>
      </c>
      <c r="C149" s="16" t="s">
        <v>42</v>
      </c>
      <c r="D149" s="16" t="s">
        <v>42</v>
      </c>
      <c r="E149" s="16" t="s">
        <v>42</v>
      </c>
      <c r="F149" s="16" t="s">
        <v>42</v>
      </c>
      <c r="G149" s="16" t="s">
        <v>42</v>
      </c>
      <c r="H149" s="15" t="s">
        <v>41</v>
      </c>
      <c r="I149" s="16" t="s">
        <v>42</v>
      </c>
      <c r="J149" s="16" t="s">
        <v>42</v>
      </c>
      <c r="K149" s="16" t="s">
        <v>42</v>
      </c>
      <c r="L149" s="17" t="s">
        <v>1075</v>
      </c>
      <c r="M149" s="18" t="s">
        <v>1076</v>
      </c>
      <c r="N149" s="26" t="s">
        <v>1077</v>
      </c>
      <c r="O149" s="18" t="s">
        <v>1078</v>
      </c>
      <c r="P149" s="18" t="s">
        <v>60</v>
      </c>
      <c r="Q149" s="18" t="s">
        <v>320</v>
      </c>
      <c r="R149" s="18" t="s">
        <v>1079</v>
      </c>
      <c r="S149" s="18" t="s">
        <v>83</v>
      </c>
      <c r="T149" s="18" t="s">
        <v>63</v>
      </c>
      <c r="U149" s="18" t="str">
        <f>"2000"</f>
        <v>2000</v>
      </c>
      <c r="V149" s="18" t="str">
        <f>"+61 2 8316 8951"</f>
        <v>+61 2 8316 8951</v>
      </c>
      <c r="W149" s="18" t="str">
        <f>"+61 401 788 963"</f>
        <v>+61 401 788 963</v>
      </c>
      <c r="X149" s="26" t="s">
        <v>1080</v>
      </c>
      <c r="Y149" s="18"/>
      <c r="Z149" s="18" t="s">
        <v>54</v>
      </c>
      <c r="AA149" s="18">
        <v>82601360749</v>
      </c>
      <c r="AB149" s="18">
        <v>601360749</v>
      </c>
      <c r="AC149" s="18" t="s">
        <v>1081</v>
      </c>
    </row>
    <row r="150" spans="1:29" ht="90" customHeight="1" x14ac:dyDescent="0.3">
      <c r="A150" s="16" t="s">
        <v>42</v>
      </c>
      <c r="B150" s="16" t="s">
        <v>42</v>
      </c>
      <c r="C150" s="16" t="s">
        <v>42</v>
      </c>
      <c r="D150" s="16" t="s">
        <v>42</v>
      </c>
      <c r="E150" s="16" t="s">
        <v>42</v>
      </c>
      <c r="F150" s="16" t="s">
        <v>42</v>
      </c>
      <c r="G150" s="16" t="s">
        <v>42</v>
      </c>
      <c r="H150" s="15" t="s">
        <v>41</v>
      </c>
      <c r="I150" s="15" t="s">
        <v>41</v>
      </c>
      <c r="J150" s="16" t="s">
        <v>42</v>
      </c>
      <c r="K150" s="15" t="s">
        <v>41</v>
      </c>
      <c r="L150" s="17" t="s">
        <v>1082</v>
      </c>
      <c r="M150" s="18" t="s">
        <v>1083</v>
      </c>
      <c r="N150" s="26" t="s">
        <v>1084</v>
      </c>
      <c r="O150" s="18" t="s">
        <v>1085</v>
      </c>
      <c r="P150" s="18" t="s">
        <v>60</v>
      </c>
      <c r="Q150" s="18" t="s">
        <v>1086</v>
      </c>
      <c r="R150" s="18" t="s">
        <v>1087</v>
      </c>
      <c r="S150" s="18" t="s">
        <v>130</v>
      </c>
      <c r="T150" s="18" t="s">
        <v>63</v>
      </c>
      <c r="U150" s="18" t="str">
        <f>"2010"</f>
        <v>2010</v>
      </c>
      <c r="V150" s="18" t="str">
        <f>"02 96989029"</f>
        <v>02 96989029</v>
      </c>
      <c r="W150" s="18" t="str">
        <f>"0415121803"</f>
        <v>0415121803</v>
      </c>
      <c r="X150" s="26" t="s">
        <v>1088</v>
      </c>
      <c r="Y150" s="18"/>
      <c r="Z150" s="18" t="s">
        <v>54</v>
      </c>
      <c r="AA150" s="18">
        <v>26603737891</v>
      </c>
      <c r="AB150" s="18">
        <v>603737891</v>
      </c>
      <c r="AC150" s="18" t="s">
        <v>1089</v>
      </c>
    </row>
    <row r="151" spans="1:29" ht="90" customHeight="1" x14ac:dyDescent="0.3">
      <c r="A151" s="16" t="s">
        <v>42</v>
      </c>
      <c r="B151" s="16" t="s">
        <v>42</v>
      </c>
      <c r="C151" s="16" t="s">
        <v>42</v>
      </c>
      <c r="D151" s="16" t="s">
        <v>42</v>
      </c>
      <c r="E151" s="16" t="s">
        <v>42</v>
      </c>
      <c r="F151" s="16" t="s">
        <v>42</v>
      </c>
      <c r="G151" s="16" t="s">
        <v>42</v>
      </c>
      <c r="H151" s="16" t="s">
        <v>42</v>
      </c>
      <c r="I151" s="16" t="s">
        <v>42</v>
      </c>
      <c r="J151" s="16" t="s">
        <v>42</v>
      </c>
      <c r="K151" s="15" t="s">
        <v>41</v>
      </c>
      <c r="L151" s="17" t="s">
        <v>1090</v>
      </c>
      <c r="M151" s="18" t="s">
        <v>1090</v>
      </c>
      <c r="N151" s="26" t="s">
        <v>1091</v>
      </c>
      <c r="O151" s="18" t="s">
        <v>1092</v>
      </c>
      <c r="P151" s="18" t="s">
        <v>772</v>
      </c>
      <c r="Q151" s="18" t="s">
        <v>1093</v>
      </c>
      <c r="R151" s="18"/>
      <c r="S151" s="18" t="s">
        <v>138</v>
      </c>
      <c r="T151" s="18" t="s">
        <v>63</v>
      </c>
      <c r="U151" s="18" t="str">
        <f>"2016"</f>
        <v>2016</v>
      </c>
      <c r="V151" s="18" t="str">
        <f>"0423137619"</f>
        <v>0423137619</v>
      </c>
      <c r="W151" s="18" t="str">
        <f>""</f>
        <v/>
      </c>
      <c r="X151" s="26" t="s">
        <v>1094</v>
      </c>
      <c r="Y151" s="18" t="s">
        <v>1095</v>
      </c>
      <c r="Z151" s="18" t="s">
        <v>54</v>
      </c>
      <c r="AA151" s="18">
        <v>27602536649</v>
      </c>
      <c r="AB151" s="18">
        <v>602536649</v>
      </c>
      <c r="AC151" s="18" t="s">
        <v>1096</v>
      </c>
    </row>
    <row r="152" spans="1:29" ht="90" customHeight="1" x14ac:dyDescent="0.3">
      <c r="A152" s="15" t="s">
        <v>41</v>
      </c>
      <c r="B152" s="16" t="s">
        <v>42</v>
      </c>
      <c r="C152" s="16" t="s">
        <v>42</v>
      </c>
      <c r="D152" s="16" t="s">
        <v>42</v>
      </c>
      <c r="E152" s="16" t="s">
        <v>42</v>
      </c>
      <c r="F152" s="16" t="s">
        <v>42</v>
      </c>
      <c r="G152" s="16" t="s">
        <v>42</v>
      </c>
      <c r="H152" s="15" t="s">
        <v>41</v>
      </c>
      <c r="I152" s="15" t="s">
        <v>41</v>
      </c>
      <c r="J152" s="16" t="s">
        <v>42</v>
      </c>
      <c r="K152" s="16" t="s">
        <v>42</v>
      </c>
      <c r="L152" s="17" t="s">
        <v>1097</v>
      </c>
      <c r="M152" s="18" t="s">
        <v>1098</v>
      </c>
      <c r="N152" s="26" t="s">
        <v>1099</v>
      </c>
      <c r="O152" s="18" t="s">
        <v>1100</v>
      </c>
      <c r="P152" s="18" t="s">
        <v>60</v>
      </c>
      <c r="Q152" s="18" t="s">
        <v>1101</v>
      </c>
      <c r="R152" s="18"/>
      <c r="S152" s="18" t="s">
        <v>201</v>
      </c>
      <c r="T152" s="18" t="s">
        <v>63</v>
      </c>
      <c r="U152" s="18" t="str">
        <f>"2008"</f>
        <v>2008</v>
      </c>
      <c r="V152" s="18" t="str">
        <f>"0293193899"</f>
        <v>0293193899</v>
      </c>
      <c r="W152" s="18" t="str">
        <f>"0414436465"</f>
        <v>0414436465</v>
      </c>
      <c r="X152" s="26" t="s">
        <v>1102</v>
      </c>
      <c r="Y152" s="18"/>
      <c r="Z152" s="18" t="s">
        <v>54</v>
      </c>
      <c r="AA152" s="18">
        <v>95126268273</v>
      </c>
      <c r="AB152" s="18"/>
      <c r="AC152" s="18" t="s">
        <v>1103</v>
      </c>
    </row>
    <row r="153" spans="1:29" ht="90" customHeight="1" x14ac:dyDescent="0.3">
      <c r="A153" s="15" t="s">
        <v>41</v>
      </c>
      <c r="B153" s="16" t="s">
        <v>42</v>
      </c>
      <c r="C153" s="16" t="s">
        <v>42</v>
      </c>
      <c r="D153" s="16" t="s">
        <v>42</v>
      </c>
      <c r="E153" s="16" t="s">
        <v>42</v>
      </c>
      <c r="F153" s="15" t="s">
        <v>41</v>
      </c>
      <c r="G153" s="16" t="s">
        <v>42</v>
      </c>
      <c r="H153" s="15" t="s">
        <v>41</v>
      </c>
      <c r="I153" s="15" t="s">
        <v>41</v>
      </c>
      <c r="J153" s="16" t="s">
        <v>42</v>
      </c>
      <c r="K153" s="16" t="s">
        <v>42</v>
      </c>
      <c r="L153" s="22" t="s">
        <v>2097</v>
      </c>
      <c r="M153" s="18" t="s">
        <v>2098</v>
      </c>
      <c r="N153" s="26" t="s">
        <v>2120</v>
      </c>
      <c r="O153" s="18" t="s">
        <v>2099</v>
      </c>
      <c r="P153" s="18" t="s">
        <v>60</v>
      </c>
      <c r="Q153" s="18" t="s">
        <v>2100</v>
      </c>
      <c r="R153" s="18"/>
      <c r="S153" s="18" t="s">
        <v>1635</v>
      </c>
      <c r="T153" s="18" t="s">
        <v>63</v>
      </c>
      <c r="U153" s="18">
        <v>2015</v>
      </c>
      <c r="V153" s="18">
        <v>413990052</v>
      </c>
      <c r="W153" s="18">
        <v>413990052</v>
      </c>
      <c r="X153" s="26" t="s">
        <v>2101</v>
      </c>
      <c r="Y153" s="18"/>
      <c r="Z153" s="18" t="s">
        <v>54</v>
      </c>
      <c r="AA153" s="18">
        <v>46791394866</v>
      </c>
      <c r="AB153" s="18"/>
      <c r="AC153" s="18" t="s">
        <v>2102</v>
      </c>
    </row>
    <row r="154" spans="1:29" ht="90" customHeight="1" x14ac:dyDescent="0.3">
      <c r="A154" s="15" t="s">
        <v>41</v>
      </c>
      <c r="B154" s="16" t="s">
        <v>42</v>
      </c>
      <c r="C154" s="16" t="s">
        <v>42</v>
      </c>
      <c r="D154" s="16" t="s">
        <v>42</v>
      </c>
      <c r="E154" s="16" t="s">
        <v>42</v>
      </c>
      <c r="F154" s="16" t="s">
        <v>42</v>
      </c>
      <c r="G154" s="16" t="s">
        <v>42</v>
      </c>
      <c r="H154" s="16" t="s">
        <v>42</v>
      </c>
      <c r="I154" s="15" t="s">
        <v>41</v>
      </c>
      <c r="J154" s="15" t="s">
        <v>41</v>
      </c>
      <c r="K154" s="16" t="s">
        <v>42</v>
      </c>
      <c r="L154" s="22" t="s">
        <v>2032</v>
      </c>
      <c r="M154" s="35" t="s">
        <v>2032</v>
      </c>
      <c r="N154" s="26" t="s">
        <v>1104</v>
      </c>
      <c r="O154" s="18" t="s">
        <v>1105</v>
      </c>
      <c r="P154" s="18" t="s">
        <v>1106</v>
      </c>
      <c r="Q154" s="18" t="s">
        <v>1107</v>
      </c>
      <c r="R154" s="18"/>
      <c r="S154" s="18" t="s">
        <v>73</v>
      </c>
      <c r="T154" s="18" t="s">
        <v>63</v>
      </c>
      <c r="U154" s="18" t="str">
        <f>"2095"</f>
        <v>2095</v>
      </c>
      <c r="V154" s="18" t="str">
        <f>"02 9188 7500"</f>
        <v>02 9188 7500</v>
      </c>
      <c r="W154" s="18" t="str">
        <f>""</f>
        <v/>
      </c>
      <c r="X154" s="26" t="s">
        <v>1108</v>
      </c>
      <c r="Y154" s="18" t="s">
        <v>1109</v>
      </c>
      <c r="Z154" s="18" t="s">
        <v>123</v>
      </c>
      <c r="AA154" s="33" t="s">
        <v>2033</v>
      </c>
      <c r="AB154" s="33" t="s">
        <v>2034</v>
      </c>
      <c r="AC154" s="18" t="s">
        <v>1110</v>
      </c>
    </row>
    <row r="155" spans="1:29" ht="90" customHeight="1" x14ac:dyDescent="0.3">
      <c r="A155" s="16" t="s">
        <v>42</v>
      </c>
      <c r="B155" s="16" t="s">
        <v>42</v>
      </c>
      <c r="C155" s="16" t="s">
        <v>42</v>
      </c>
      <c r="D155" s="16" t="s">
        <v>42</v>
      </c>
      <c r="E155" s="16" t="s">
        <v>42</v>
      </c>
      <c r="F155" s="16" t="s">
        <v>42</v>
      </c>
      <c r="G155" s="16" t="s">
        <v>42</v>
      </c>
      <c r="H155" s="15" t="s">
        <v>41</v>
      </c>
      <c r="I155" s="16" t="s">
        <v>42</v>
      </c>
      <c r="J155" s="16" t="s">
        <v>42</v>
      </c>
      <c r="K155" s="16" t="s">
        <v>42</v>
      </c>
      <c r="L155" s="17" t="s">
        <v>1111</v>
      </c>
      <c r="M155" s="18" t="s">
        <v>1112</v>
      </c>
      <c r="N155" s="26" t="s">
        <v>1113</v>
      </c>
      <c r="O155" s="18" t="s">
        <v>1114</v>
      </c>
      <c r="P155" s="18" t="s">
        <v>60</v>
      </c>
      <c r="Q155" s="18" t="s">
        <v>779</v>
      </c>
      <c r="R155" s="18" t="s">
        <v>1115</v>
      </c>
      <c r="S155" s="18" t="s">
        <v>130</v>
      </c>
      <c r="T155" s="18" t="s">
        <v>63</v>
      </c>
      <c r="U155" s="18" t="str">
        <f>"2010"</f>
        <v>2010</v>
      </c>
      <c r="V155" s="18" t="str">
        <f>"(02)92118151"</f>
        <v>(02)92118151</v>
      </c>
      <c r="W155" s="18" t="str">
        <f>"0407415898"</f>
        <v>0407415898</v>
      </c>
      <c r="X155" s="26" t="s">
        <v>1116</v>
      </c>
      <c r="Y155" s="18"/>
      <c r="Z155" s="18" t="s">
        <v>54</v>
      </c>
      <c r="AA155" s="18">
        <v>74090136066</v>
      </c>
      <c r="AB155" s="18"/>
      <c r="AC155" s="18" t="s">
        <v>1117</v>
      </c>
    </row>
    <row r="156" spans="1:29" ht="90" customHeight="1" x14ac:dyDescent="0.3">
      <c r="A156" s="16" t="s">
        <v>42</v>
      </c>
      <c r="B156" s="16" t="s">
        <v>42</v>
      </c>
      <c r="C156" s="16" t="s">
        <v>42</v>
      </c>
      <c r="D156" s="16" t="s">
        <v>42</v>
      </c>
      <c r="E156" s="16" t="s">
        <v>42</v>
      </c>
      <c r="F156" s="16" t="s">
        <v>42</v>
      </c>
      <c r="G156" s="16" t="s">
        <v>42</v>
      </c>
      <c r="H156" s="15" t="s">
        <v>41</v>
      </c>
      <c r="I156" s="16" t="s">
        <v>42</v>
      </c>
      <c r="J156" s="15" t="s">
        <v>41</v>
      </c>
      <c r="K156" s="15" t="s">
        <v>41</v>
      </c>
      <c r="L156" s="17" t="s">
        <v>1118</v>
      </c>
      <c r="M156" s="18" t="s">
        <v>1119</v>
      </c>
      <c r="N156" s="26" t="s">
        <v>1120</v>
      </c>
      <c r="O156" s="18" t="s">
        <v>1121</v>
      </c>
      <c r="P156" s="18" t="s">
        <v>1122</v>
      </c>
      <c r="Q156" s="18" t="s">
        <v>1123</v>
      </c>
      <c r="R156" s="18" t="s">
        <v>1124</v>
      </c>
      <c r="S156" s="18" t="s">
        <v>83</v>
      </c>
      <c r="T156" s="18" t="s">
        <v>63</v>
      </c>
      <c r="U156" s="18" t="str">
        <f>"2000"</f>
        <v>2000</v>
      </c>
      <c r="V156" s="18" t="str">
        <f>"02 9221 1401"</f>
        <v>02 9221 1401</v>
      </c>
      <c r="W156" s="18" t="str">
        <f>"0406 741 220"</f>
        <v>0406 741 220</v>
      </c>
      <c r="X156" s="26" t="s">
        <v>1125</v>
      </c>
      <c r="Y156" s="18"/>
      <c r="Z156" s="18" t="s">
        <v>54</v>
      </c>
      <c r="AA156" s="18">
        <v>78612191689</v>
      </c>
      <c r="AB156" s="18">
        <v>612191689</v>
      </c>
      <c r="AC156" s="18" t="s">
        <v>1126</v>
      </c>
    </row>
    <row r="157" spans="1:29" ht="90" customHeight="1" x14ac:dyDescent="0.3">
      <c r="A157" s="16" t="s">
        <v>42</v>
      </c>
      <c r="B157" s="16" t="s">
        <v>42</v>
      </c>
      <c r="C157" s="16" t="s">
        <v>42</v>
      </c>
      <c r="D157" s="16" t="s">
        <v>42</v>
      </c>
      <c r="E157" s="16" t="s">
        <v>42</v>
      </c>
      <c r="F157" s="16" t="s">
        <v>42</v>
      </c>
      <c r="G157" s="16" t="s">
        <v>42</v>
      </c>
      <c r="H157" s="15" t="s">
        <v>41</v>
      </c>
      <c r="I157" s="16" t="s">
        <v>42</v>
      </c>
      <c r="J157" s="16" t="s">
        <v>42</v>
      </c>
      <c r="K157" s="16" t="s">
        <v>42</v>
      </c>
      <c r="L157" s="17" t="s">
        <v>1127</v>
      </c>
      <c r="M157" s="18" t="s">
        <v>1127</v>
      </c>
      <c r="N157" s="26" t="s">
        <v>1128</v>
      </c>
      <c r="O157" s="18" t="s">
        <v>1129</v>
      </c>
      <c r="P157" s="18" t="s">
        <v>60</v>
      </c>
      <c r="Q157" s="18" t="s">
        <v>1130</v>
      </c>
      <c r="R157" s="18"/>
      <c r="S157" s="18" t="s">
        <v>83</v>
      </c>
      <c r="T157" s="18" t="s">
        <v>63</v>
      </c>
      <c r="U157" s="18" t="str">
        <f>"2010"</f>
        <v>2010</v>
      </c>
      <c r="V157" s="18" t="str">
        <f>"02 9211 4146"</f>
        <v>02 9211 4146</v>
      </c>
      <c r="W157" s="18" t="str">
        <f>"0412 292 035"</f>
        <v>0412 292 035</v>
      </c>
      <c r="X157" s="26" t="s">
        <v>1131</v>
      </c>
      <c r="Y157" s="18"/>
      <c r="Z157" s="18" t="s">
        <v>54</v>
      </c>
      <c r="AA157" s="18">
        <v>28122953468</v>
      </c>
      <c r="AB157" s="18"/>
      <c r="AC157" s="18" t="s">
        <v>1132</v>
      </c>
    </row>
    <row r="158" spans="1:29" ht="90" customHeight="1" x14ac:dyDescent="0.3">
      <c r="A158" s="16" t="s">
        <v>42</v>
      </c>
      <c r="B158" s="16" t="s">
        <v>42</v>
      </c>
      <c r="C158" s="16" t="s">
        <v>42</v>
      </c>
      <c r="D158" s="16" t="s">
        <v>42</v>
      </c>
      <c r="E158" s="16" t="s">
        <v>42</v>
      </c>
      <c r="F158" s="16" t="s">
        <v>42</v>
      </c>
      <c r="G158" s="16" t="s">
        <v>42</v>
      </c>
      <c r="H158" s="15" t="s">
        <v>41</v>
      </c>
      <c r="I158" s="16" t="s">
        <v>42</v>
      </c>
      <c r="J158" s="16" t="s">
        <v>42</v>
      </c>
      <c r="K158" s="16" t="s">
        <v>42</v>
      </c>
      <c r="L158" s="17" t="s">
        <v>1133</v>
      </c>
      <c r="M158" s="18" t="s">
        <v>1134</v>
      </c>
      <c r="N158" s="26" t="s">
        <v>1135</v>
      </c>
      <c r="O158" s="18" t="s">
        <v>1136</v>
      </c>
      <c r="P158" s="18" t="s">
        <v>60</v>
      </c>
      <c r="Q158" s="18" t="s">
        <v>1137</v>
      </c>
      <c r="R158" s="18" t="s">
        <v>1138</v>
      </c>
      <c r="S158" s="18" t="s">
        <v>138</v>
      </c>
      <c r="T158" s="18" t="s">
        <v>63</v>
      </c>
      <c r="U158" s="18" t="str">
        <f>"2016"</f>
        <v>2016</v>
      </c>
      <c r="V158" s="18" t="str">
        <f>"0292126111"</f>
        <v>0292126111</v>
      </c>
      <c r="W158" s="18" t="str">
        <f>"0416 126 111"</f>
        <v>0416 126 111</v>
      </c>
      <c r="X158" s="26" t="s">
        <v>1139</v>
      </c>
      <c r="Y158" s="18"/>
      <c r="Z158" s="18" t="s">
        <v>54</v>
      </c>
      <c r="AA158" s="18">
        <v>63066535948</v>
      </c>
      <c r="AB158" s="18">
        <v>66535948</v>
      </c>
      <c r="AC158" s="18" t="s">
        <v>124</v>
      </c>
    </row>
    <row r="159" spans="1:29" ht="90" customHeight="1" x14ac:dyDescent="0.3">
      <c r="A159" s="16" t="s">
        <v>42</v>
      </c>
      <c r="B159" s="16" t="s">
        <v>42</v>
      </c>
      <c r="C159" s="16" t="s">
        <v>42</v>
      </c>
      <c r="D159" s="16" t="s">
        <v>42</v>
      </c>
      <c r="E159" s="16" t="s">
        <v>42</v>
      </c>
      <c r="F159" s="16" t="s">
        <v>42</v>
      </c>
      <c r="G159" s="16" t="s">
        <v>42</v>
      </c>
      <c r="H159" s="15" t="s">
        <v>41</v>
      </c>
      <c r="I159" s="15" t="s">
        <v>41</v>
      </c>
      <c r="J159" s="16" t="s">
        <v>42</v>
      </c>
      <c r="K159" s="16" t="s">
        <v>42</v>
      </c>
      <c r="L159" s="17" t="s">
        <v>1140</v>
      </c>
      <c r="M159" s="18" t="s">
        <v>1141</v>
      </c>
      <c r="N159" s="26" t="s">
        <v>1142</v>
      </c>
      <c r="O159" s="18" t="s">
        <v>1143</v>
      </c>
      <c r="P159" s="18" t="s">
        <v>60</v>
      </c>
      <c r="Q159" s="18" t="s">
        <v>1144</v>
      </c>
      <c r="R159" s="18"/>
      <c r="S159" s="18" t="s">
        <v>237</v>
      </c>
      <c r="T159" s="18" t="s">
        <v>634</v>
      </c>
      <c r="U159" s="18" t="str">
        <f>"3000"</f>
        <v>3000</v>
      </c>
      <c r="V159" s="18" t="str">
        <f>"0411596270"</f>
        <v>0411596270</v>
      </c>
      <c r="W159" s="18" t="str">
        <f>""</f>
        <v/>
      </c>
      <c r="X159" s="26" t="s">
        <v>1145</v>
      </c>
      <c r="Y159" s="18"/>
      <c r="Z159" s="18" t="s">
        <v>123</v>
      </c>
      <c r="AA159" s="18">
        <v>13006488302</v>
      </c>
      <c r="AB159" s="18">
        <v>6488302</v>
      </c>
      <c r="AC159" s="18" t="s">
        <v>1146</v>
      </c>
    </row>
    <row r="160" spans="1:29" ht="90" customHeight="1" x14ac:dyDescent="0.3">
      <c r="A160" s="15" t="s">
        <v>41</v>
      </c>
      <c r="B160" s="15" t="s">
        <v>41</v>
      </c>
      <c r="C160" s="15" t="s">
        <v>41</v>
      </c>
      <c r="D160" s="15" t="s">
        <v>41</v>
      </c>
      <c r="E160" s="15" t="s">
        <v>41</v>
      </c>
      <c r="F160" s="16" t="s">
        <v>42</v>
      </c>
      <c r="G160" s="16" t="s">
        <v>42</v>
      </c>
      <c r="H160" s="16" t="s">
        <v>42</v>
      </c>
      <c r="I160" s="16" t="s">
        <v>42</v>
      </c>
      <c r="J160" s="16" t="s">
        <v>42</v>
      </c>
      <c r="K160" s="16" t="s">
        <v>42</v>
      </c>
      <c r="L160" s="17" t="s">
        <v>1147</v>
      </c>
      <c r="M160" s="18" t="s">
        <v>1148</v>
      </c>
      <c r="N160" s="26" t="s">
        <v>1149</v>
      </c>
      <c r="O160" s="18" t="s">
        <v>1150</v>
      </c>
      <c r="P160" s="18" t="s">
        <v>47</v>
      </c>
      <c r="Q160" s="18" t="s">
        <v>1151</v>
      </c>
      <c r="R160" s="18"/>
      <c r="S160" s="18" t="s">
        <v>392</v>
      </c>
      <c r="T160" s="18" t="s">
        <v>63</v>
      </c>
      <c r="U160" s="18" t="str">
        <f>"2060"</f>
        <v>2060</v>
      </c>
      <c r="V160" s="18" t="str">
        <f>"0299547555"</f>
        <v>0299547555</v>
      </c>
      <c r="W160" s="18" t="str">
        <f>"0404022060"</f>
        <v>0404022060</v>
      </c>
      <c r="X160" s="26" t="s">
        <v>1152</v>
      </c>
      <c r="Y160" s="18" t="s">
        <v>1153</v>
      </c>
      <c r="Z160" s="18" t="s">
        <v>54</v>
      </c>
      <c r="AA160" s="18">
        <v>76095800427</v>
      </c>
      <c r="AB160" s="18">
        <v>95793230</v>
      </c>
      <c r="AC160" s="18" t="s">
        <v>1154</v>
      </c>
    </row>
    <row r="161" spans="1:29" ht="90" customHeight="1" x14ac:dyDescent="0.3">
      <c r="A161" s="16" t="s">
        <v>42</v>
      </c>
      <c r="B161" s="16" t="s">
        <v>42</v>
      </c>
      <c r="C161" s="16" t="s">
        <v>42</v>
      </c>
      <c r="D161" s="16" t="s">
        <v>42</v>
      </c>
      <c r="E161" s="16" t="s">
        <v>42</v>
      </c>
      <c r="F161" s="16" t="s">
        <v>42</v>
      </c>
      <c r="G161" s="16" t="s">
        <v>42</v>
      </c>
      <c r="H161" s="15" t="s">
        <v>41</v>
      </c>
      <c r="I161" s="16" t="s">
        <v>42</v>
      </c>
      <c r="J161" s="16" t="s">
        <v>42</v>
      </c>
      <c r="K161" s="16" t="s">
        <v>42</v>
      </c>
      <c r="L161" s="17" t="s">
        <v>1155</v>
      </c>
      <c r="M161" s="18" t="s">
        <v>1156</v>
      </c>
      <c r="N161" s="26" t="s">
        <v>1157</v>
      </c>
      <c r="O161" s="18" t="s">
        <v>1158</v>
      </c>
      <c r="P161" s="18" t="s">
        <v>47</v>
      </c>
      <c r="Q161" s="18" t="s">
        <v>1159</v>
      </c>
      <c r="R161" s="18"/>
      <c r="S161" s="18" t="s">
        <v>83</v>
      </c>
      <c r="T161" s="18" t="s">
        <v>63</v>
      </c>
      <c r="U161" s="18" t="str">
        <f>"2000"</f>
        <v>2000</v>
      </c>
      <c r="V161" s="18" t="str">
        <f>"02 9262 6277"</f>
        <v>02 9262 6277</v>
      </c>
      <c r="W161" s="18" t="str">
        <f>"0419190379"</f>
        <v>0419190379</v>
      </c>
      <c r="X161" s="26" t="s">
        <v>1160</v>
      </c>
      <c r="Y161" s="18"/>
      <c r="Z161" s="18" t="s">
        <v>54</v>
      </c>
      <c r="AA161" s="18">
        <v>82610776648</v>
      </c>
      <c r="AB161" s="18">
        <v>610776648</v>
      </c>
      <c r="AC161" s="18" t="s">
        <v>1161</v>
      </c>
    </row>
    <row r="162" spans="1:29" ht="90" customHeight="1" x14ac:dyDescent="0.3">
      <c r="A162" s="16" t="s">
        <v>42</v>
      </c>
      <c r="B162" s="16" t="s">
        <v>42</v>
      </c>
      <c r="C162" s="16" t="s">
        <v>42</v>
      </c>
      <c r="D162" s="16" t="s">
        <v>42</v>
      </c>
      <c r="E162" s="16" t="s">
        <v>42</v>
      </c>
      <c r="F162" s="16" t="s">
        <v>42</v>
      </c>
      <c r="G162" s="16" t="s">
        <v>42</v>
      </c>
      <c r="H162" s="16" t="s">
        <v>42</v>
      </c>
      <c r="I162" s="16" t="s">
        <v>42</v>
      </c>
      <c r="J162" s="15" t="s">
        <v>41</v>
      </c>
      <c r="K162" s="16" t="s">
        <v>42</v>
      </c>
      <c r="L162" s="17" t="s">
        <v>1162</v>
      </c>
      <c r="M162" s="18" t="s">
        <v>1163</v>
      </c>
      <c r="N162" s="26" t="s">
        <v>1164</v>
      </c>
      <c r="O162" s="18" t="s">
        <v>1165</v>
      </c>
      <c r="P162" s="18" t="s">
        <v>60</v>
      </c>
      <c r="Q162" s="18" t="s">
        <v>1166</v>
      </c>
      <c r="R162" s="18" t="s">
        <v>1167</v>
      </c>
      <c r="S162" s="18" t="s">
        <v>1168</v>
      </c>
      <c r="T162" s="18" t="s">
        <v>63</v>
      </c>
      <c r="U162" s="18" t="str">
        <f>"2296"</f>
        <v>2296</v>
      </c>
      <c r="V162" s="18" t="str">
        <f>"02 4965 3500"</f>
        <v>02 4965 3500</v>
      </c>
      <c r="W162" s="18" t="str">
        <f>"0402434018"</f>
        <v>0402434018</v>
      </c>
      <c r="X162" s="26" t="s">
        <v>1169</v>
      </c>
      <c r="Y162" s="18"/>
      <c r="Z162" s="18" t="s">
        <v>54</v>
      </c>
      <c r="AA162" s="18">
        <v>48097558908</v>
      </c>
      <c r="AB162" s="18">
        <v>97558908</v>
      </c>
      <c r="AC162" s="18" t="s">
        <v>1170</v>
      </c>
    </row>
    <row r="163" spans="1:29" ht="90" customHeight="1" x14ac:dyDescent="0.3">
      <c r="A163" s="16" t="s">
        <v>42</v>
      </c>
      <c r="B163" s="16" t="s">
        <v>42</v>
      </c>
      <c r="C163" s="16" t="s">
        <v>42</v>
      </c>
      <c r="D163" s="16" t="s">
        <v>42</v>
      </c>
      <c r="E163" s="16" t="s">
        <v>42</v>
      </c>
      <c r="F163" s="16" t="s">
        <v>42</v>
      </c>
      <c r="G163" s="16" t="s">
        <v>42</v>
      </c>
      <c r="H163" s="15" t="s">
        <v>41</v>
      </c>
      <c r="I163" s="16" t="s">
        <v>42</v>
      </c>
      <c r="J163" s="16" t="s">
        <v>42</v>
      </c>
      <c r="K163" s="15" t="s">
        <v>41</v>
      </c>
      <c r="L163" s="17" t="s">
        <v>1171</v>
      </c>
      <c r="M163" s="18" t="s">
        <v>1172</v>
      </c>
      <c r="N163" s="26" t="s">
        <v>1173</v>
      </c>
      <c r="O163" s="18" t="s">
        <v>1174</v>
      </c>
      <c r="P163" s="18" t="s">
        <v>1175</v>
      </c>
      <c r="Q163" s="18" t="s">
        <v>1176</v>
      </c>
      <c r="R163" s="18"/>
      <c r="S163" s="18" t="s">
        <v>1177</v>
      </c>
      <c r="T163" s="18" t="s">
        <v>63</v>
      </c>
      <c r="U163" s="18" t="str">
        <f>"4064"</f>
        <v>4064</v>
      </c>
      <c r="V163" s="18" t="str">
        <f>"07 3876 6040"</f>
        <v>07 3876 6040</v>
      </c>
      <c r="W163" s="18" t="str">
        <f>"0416037424"</f>
        <v>0416037424</v>
      </c>
      <c r="X163" s="26" t="s">
        <v>1178</v>
      </c>
      <c r="Y163" s="18"/>
      <c r="Z163" s="18" t="s">
        <v>54</v>
      </c>
      <c r="AA163" s="18">
        <v>33517901456</v>
      </c>
      <c r="AB163" s="18">
        <v>607789444</v>
      </c>
      <c r="AC163" s="18" t="s">
        <v>1179</v>
      </c>
    </row>
    <row r="164" spans="1:29" ht="90" customHeight="1" x14ac:dyDescent="0.3">
      <c r="A164" s="16" t="s">
        <v>42</v>
      </c>
      <c r="B164" s="16" t="s">
        <v>42</v>
      </c>
      <c r="C164" s="16" t="s">
        <v>42</v>
      </c>
      <c r="D164" s="16" t="s">
        <v>42</v>
      </c>
      <c r="E164" s="16" t="s">
        <v>42</v>
      </c>
      <c r="F164" s="16" t="s">
        <v>42</v>
      </c>
      <c r="G164" s="16" t="s">
        <v>42</v>
      </c>
      <c r="H164" s="15" t="s">
        <v>41</v>
      </c>
      <c r="I164" s="16" t="s">
        <v>42</v>
      </c>
      <c r="J164" s="15" t="s">
        <v>41</v>
      </c>
      <c r="K164" s="16" t="s">
        <v>42</v>
      </c>
      <c r="L164" s="17" t="s">
        <v>1180</v>
      </c>
      <c r="M164" s="18" t="s">
        <v>1181</v>
      </c>
      <c r="N164" s="26" t="s">
        <v>1182</v>
      </c>
      <c r="O164" s="18" t="s">
        <v>1183</v>
      </c>
      <c r="P164" s="18" t="s">
        <v>60</v>
      </c>
      <c r="Q164" s="18" t="s">
        <v>1184</v>
      </c>
      <c r="R164" s="18"/>
      <c r="S164" s="18" t="s">
        <v>1185</v>
      </c>
      <c r="T164" s="18" t="s">
        <v>63</v>
      </c>
      <c r="U164" s="18" t="str">
        <f>"2089"</f>
        <v>2089</v>
      </c>
      <c r="V164" s="18" t="str">
        <f>"0299222344"</f>
        <v>0299222344</v>
      </c>
      <c r="W164" s="18" t="str">
        <f>"0410221875"</f>
        <v>0410221875</v>
      </c>
      <c r="X164" s="26" t="s">
        <v>1186</v>
      </c>
      <c r="Y164" s="18" t="s">
        <v>1187</v>
      </c>
      <c r="Z164" s="18" t="s">
        <v>123</v>
      </c>
      <c r="AA164" s="18">
        <v>16002247565</v>
      </c>
      <c r="AB164" s="18">
        <v>2247565</v>
      </c>
      <c r="AC164" s="18" t="s">
        <v>141</v>
      </c>
    </row>
    <row r="165" spans="1:29" ht="90" customHeight="1" x14ac:dyDescent="0.3">
      <c r="A165" s="16" t="s">
        <v>42</v>
      </c>
      <c r="B165" s="16" t="s">
        <v>42</v>
      </c>
      <c r="C165" s="16" t="s">
        <v>42</v>
      </c>
      <c r="D165" s="16" t="s">
        <v>42</v>
      </c>
      <c r="E165" s="16" t="s">
        <v>42</v>
      </c>
      <c r="F165" s="16" t="s">
        <v>42</v>
      </c>
      <c r="G165" s="16" t="s">
        <v>42</v>
      </c>
      <c r="H165" s="15" t="s">
        <v>41</v>
      </c>
      <c r="I165" s="15" t="s">
        <v>41</v>
      </c>
      <c r="J165" s="16" t="s">
        <v>42</v>
      </c>
      <c r="K165" s="16" t="s">
        <v>42</v>
      </c>
      <c r="L165" s="17" t="s">
        <v>1188</v>
      </c>
      <c r="M165" s="18" t="s">
        <v>1189</v>
      </c>
      <c r="N165" s="26" t="s">
        <v>1190</v>
      </c>
      <c r="O165" s="18" t="s">
        <v>1191</v>
      </c>
      <c r="P165" s="18" t="s">
        <v>60</v>
      </c>
      <c r="Q165" s="18" t="s">
        <v>1192</v>
      </c>
      <c r="R165" s="18"/>
      <c r="S165" s="18" t="s">
        <v>107</v>
      </c>
      <c r="T165" s="18" t="s">
        <v>63</v>
      </c>
      <c r="U165" s="18" t="str">
        <f>"2011"</f>
        <v>2011</v>
      </c>
      <c r="V165" s="18" t="str">
        <f>"02 82031870"</f>
        <v>02 82031870</v>
      </c>
      <c r="W165" s="18" t="str">
        <f>""</f>
        <v/>
      </c>
      <c r="X165" s="26" t="s">
        <v>1193</v>
      </c>
      <c r="Y165" s="18"/>
      <c r="Z165" s="18" t="s">
        <v>54</v>
      </c>
      <c r="AA165" s="18">
        <v>48109003652</v>
      </c>
      <c r="AB165" s="18"/>
      <c r="AC165" s="18" t="s">
        <v>501</v>
      </c>
    </row>
    <row r="166" spans="1:29" ht="90" customHeight="1" x14ac:dyDescent="0.3">
      <c r="A166" s="16" t="s">
        <v>42</v>
      </c>
      <c r="B166" s="16" t="s">
        <v>42</v>
      </c>
      <c r="C166" s="16" t="s">
        <v>42</v>
      </c>
      <c r="D166" s="16" t="s">
        <v>42</v>
      </c>
      <c r="E166" s="16" t="s">
        <v>42</v>
      </c>
      <c r="F166" s="16" t="s">
        <v>42</v>
      </c>
      <c r="G166" s="16" t="s">
        <v>42</v>
      </c>
      <c r="H166" s="15" t="s">
        <v>41</v>
      </c>
      <c r="I166" s="16" t="s">
        <v>42</v>
      </c>
      <c r="J166" s="16" t="s">
        <v>42</v>
      </c>
      <c r="K166" s="16" t="s">
        <v>42</v>
      </c>
      <c r="L166" s="17" t="s">
        <v>1194</v>
      </c>
      <c r="M166" s="18" t="s">
        <v>1195</v>
      </c>
      <c r="N166" s="26" t="s">
        <v>1196</v>
      </c>
      <c r="O166" s="18" t="s">
        <v>1197</v>
      </c>
      <c r="P166" s="18" t="s">
        <v>60</v>
      </c>
      <c r="Q166" s="18" t="s">
        <v>1198</v>
      </c>
      <c r="R166" s="18"/>
      <c r="S166" s="18" t="s">
        <v>278</v>
      </c>
      <c r="T166" s="18" t="s">
        <v>63</v>
      </c>
      <c r="U166" s="18">
        <v>2065</v>
      </c>
      <c r="V166" s="30" t="s">
        <v>1199</v>
      </c>
      <c r="W166" s="18"/>
      <c r="X166" s="26" t="s">
        <v>1200</v>
      </c>
      <c r="Y166" s="18"/>
      <c r="Z166" s="18" t="s">
        <v>213</v>
      </c>
      <c r="AA166" s="18">
        <v>58161683122</v>
      </c>
      <c r="AB166" s="30" t="s">
        <v>1201</v>
      </c>
      <c r="AC166" s="18" t="s">
        <v>1202</v>
      </c>
    </row>
    <row r="167" spans="1:29" ht="90" customHeight="1" x14ac:dyDescent="0.3">
      <c r="A167" s="16" t="s">
        <v>42</v>
      </c>
      <c r="B167" s="16" t="s">
        <v>42</v>
      </c>
      <c r="C167" s="16" t="s">
        <v>42</v>
      </c>
      <c r="D167" s="16" t="s">
        <v>42</v>
      </c>
      <c r="E167" s="16" t="s">
        <v>42</v>
      </c>
      <c r="F167" s="16" t="s">
        <v>42</v>
      </c>
      <c r="G167" s="16" t="s">
        <v>42</v>
      </c>
      <c r="H167" s="16" t="s">
        <v>42</v>
      </c>
      <c r="I167" s="16" t="s">
        <v>42</v>
      </c>
      <c r="J167" s="15" t="s">
        <v>41</v>
      </c>
      <c r="K167" s="15" t="s">
        <v>41</v>
      </c>
      <c r="L167" s="17" t="s">
        <v>1203</v>
      </c>
      <c r="M167" s="18" t="s">
        <v>1204</v>
      </c>
      <c r="N167" s="26" t="s">
        <v>1205</v>
      </c>
      <c r="O167" s="18" t="s">
        <v>1206</v>
      </c>
      <c r="P167" s="18" t="s">
        <v>60</v>
      </c>
      <c r="Q167" s="18" t="s">
        <v>1207</v>
      </c>
      <c r="R167" s="18"/>
      <c r="S167" s="18" t="s">
        <v>83</v>
      </c>
      <c r="T167" s="18" t="s">
        <v>63</v>
      </c>
      <c r="U167" s="18" t="str">
        <f>"2015"</f>
        <v>2015</v>
      </c>
      <c r="V167" s="18" t="str">
        <f>"+61490016526"</f>
        <v>+61490016526</v>
      </c>
      <c r="W167" s="18" t="str">
        <f>"0490016526"</f>
        <v>0490016526</v>
      </c>
      <c r="X167" s="26" t="s">
        <v>1208</v>
      </c>
      <c r="Y167" s="18"/>
      <c r="Z167" s="18" t="s">
        <v>54</v>
      </c>
      <c r="AA167" s="18">
        <v>68604923088</v>
      </c>
      <c r="AB167" s="18">
        <v>604923088</v>
      </c>
      <c r="AC167" s="18" t="s">
        <v>1209</v>
      </c>
    </row>
    <row r="168" spans="1:29" ht="90" customHeight="1" x14ac:dyDescent="0.3">
      <c r="A168" s="16" t="s">
        <v>42</v>
      </c>
      <c r="B168" s="16" t="s">
        <v>42</v>
      </c>
      <c r="C168" s="16" t="s">
        <v>42</v>
      </c>
      <c r="D168" s="16" t="s">
        <v>42</v>
      </c>
      <c r="E168" s="16" t="s">
        <v>42</v>
      </c>
      <c r="F168" s="16" t="s">
        <v>42</v>
      </c>
      <c r="G168" s="15" t="s">
        <v>41</v>
      </c>
      <c r="H168" s="16" t="s">
        <v>42</v>
      </c>
      <c r="I168" s="16" t="s">
        <v>42</v>
      </c>
      <c r="J168" s="15" t="s">
        <v>41</v>
      </c>
      <c r="K168" s="15" t="s">
        <v>41</v>
      </c>
      <c r="L168" s="17" t="s">
        <v>2188</v>
      </c>
      <c r="M168" s="18" t="s">
        <v>2189</v>
      </c>
      <c r="N168" s="26" t="s">
        <v>2190</v>
      </c>
      <c r="O168" s="18" t="s">
        <v>2191</v>
      </c>
      <c r="P168" s="18" t="s">
        <v>47</v>
      </c>
      <c r="Q168" s="18" t="s">
        <v>2171</v>
      </c>
      <c r="R168" s="18" t="s">
        <v>2172</v>
      </c>
      <c r="S168" s="18" t="s">
        <v>83</v>
      </c>
      <c r="T168" s="18" t="s">
        <v>63</v>
      </c>
      <c r="U168" s="18">
        <v>2000</v>
      </c>
      <c r="V168" s="18" t="s">
        <v>2192</v>
      </c>
      <c r="W168" s="18" t="s">
        <v>2193</v>
      </c>
      <c r="X168" s="26" t="s">
        <v>2194</v>
      </c>
      <c r="Y168" s="18"/>
      <c r="Z168" s="18" t="s">
        <v>54</v>
      </c>
      <c r="AA168" s="18">
        <v>54645917531</v>
      </c>
      <c r="AB168" s="18">
        <v>645917531</v>
      </c>
      <c r="AC168" s="18" t="s">
        <v>2195</v>
      </c>
    </row>
    <row r="169" spans="1:29" ht="90" customHeight="1" x14ac:dyDescent="0.3">
      <c r="A169" s="16" t="s">
        <v>42</v>
      </c>
      <c r="B169" s="16" t="s">
        <v>42</v>
      </c>
      <c r="C169" s="16" t="s">
        <v>42</v>
      </c>
      <c r="D169" s="16" t="s">
        <v>42</v>
      </c>
      <c r="E169" s="16" t="s">
        <v>42</v>
      </c>
      <c r="F169" s="16" t="s">
        <v>42</v>
      </c>
      <c r="G169" s="16" t="s">
        <v>42</v>
      </c>
      <c r="H169" s="15" t="s">
        <v>41</v>
      </c>
      <c r="I169" s="15" t="s">
        <v>41</v>
      </c>
      <c r="J169" s="16" t="s">
        <v>42</v>
      </c>
      <c r="K169" s="16" t="s">
        <v>42</v>
      </c>
      <c r="L169" s="17" t="s">
        <v>2178</v>
      </c>
      <c r="M169" s="18" t="s">
        <v>2179</v>
      </c>
      <c r="N169" s="26" t="s">
        <v>2180</v>
      </c>
      <c r="O169" s="18" t="s">
        <v>2181</v>
      </c>
      <c r="P169" s="18" t="s">
        <v>60</v>
      </c>
      <c r="Q169" s="18" t="s">
        <v>2182</v>
      </c>
      <c r="R169" s="18" t="s">
        <v>2183</v>
      </c>
      <c r="S169" s="18" t="s">
        <v>237</v>
      </c>
      <c r="T169" s="18" t="s">
        <v>634</v>
      </c>
      <c r="U169" s="18">
        <v>3000</v>
      </c>
      <c r="V169" s="18" t="s">
        <v>2184</v>
      </c>
      <c r="W169" s="30" t="s">
        <v>2185</v>
      </c>
      <c r="X169" s="26" t="s">
        <v>2186</v>
      </c>
      <c r="Y169" s="18"/>
      <c r="Z169" s="18" t="s">
        <v>123</v>
      </c>
      <c r="AA169" s="18">
        <v>95107591293</v>
      </c>
      <c r="AB169" s="18">
        <v>107591293</v>
      </c>
      <c r="AC169" s="18" t="s">
        <v>2187</v>
      </c>
    </row>
    <row r="170" spans="1:29" ht="90" customHeight="1" x14ac:dyDescent="0.3">
      <c r="A170" s="16" t="s">
        <v>42</v>
      </c>
      <c r="B170" s="16" t="s">
        <v>42</v>
      </c>
      <c r="C170" s="16" t="s">
        <v>42</v>
      </c>
      <c r="D170" s="16" t="s">
        <v>42</v>
      </c>
      <c r="E170" s="16" t="s">
        <v>42</v>
      </c>
      <c r="F170" s="16" t="s">
        <v>42</v>
      </c>
      <c r="G170" s="16" t="s">
        <v>42</v>
      </c>
      <c r="H170" s="15" t="s">
        <v>41</v>
      </c>
      <c r="I170" s="15" t="s">
        <v>41</v>
      </c>
      <c r="J170" s="16" t="s">
        <v>42</v>
      </c>
      <c r="K170" s="16" t="s">
        <v>42</v>
      </c>
      <c r="L170" s="17" t="s">
        <v>1210</v>
      </c>
      <c r="M170" s="18" t="s">
        <v>1211</v>
      </c>
      <c r="N170" s="26" t="s">
        <v>1212</v>
      </c>
      <c r="O170" s="18" t="s">
        <v>1213</v>
      </c>
      <c r="P170" s="18" t="s">
        <v>47</v>
      </c>
      <c r="Q170" s="18" t="s">
        <v>1214</v>
      </c>
      <c r="R170" s="18"/>
      <c r="S170" s="18" t="s">
        <v>90</v>
      </c>
      <c r="T170" s="18" t="s">
        <v>63</v>
      </c>
      <c r="U170" s="18" t="str">
        <f>"2010"</f>
        <v>2010</v>
      </c>
      <c r="V170" s="18" t="str">
        <f>"0286680000"</f>
        <v>0286680000</v>
      </c>
      <c r="W170" s="18" t="str">
        <f>"+61400400498"</f>
        <v>+61400400498</v>
      </c>
      <c r="X170" s="26" t="s">
        <v>1215</v>
      </c>
      <c r="Y170" s="18" t="s">
        <v>1216</v>
      </c>
      <c r="Z170" s="18" t="s">
        <v>123</v>
      </c>
      <c r="AA170" s="18">
        <v>86064084911</v>
      </c>
      <c r="AB170" s="18">
        <v>64084911</v>
      </c>
      <c r="AC170" s="18" t="s">
        <v>1217</v>
      </c>
    </row>
    <row r="171" spans="1:29" ht="90" customHeight="1" x14ac:dyDescent="0.3">
      <c r="A171" s="16" t="s">
        <v>42</v>
      </c>
      <c r="B171" s="16" t="s">
        <v>42</v>
      </c>
      <c r="C171" s="16" t="s">
        <v>42</v>
      </c>
      <c r="D171" s="16" t="s">
        <v>42</v>
      </c>
      <c r="E171" s="16" t="s">
        <v>42</v>
      </c>
      <c r="F171" s="16" t="s">
        <v>42</v>
      </c>
      <c r="G171" s="16" t="s">
        <v>42</v>
      </c>
      <c r="H171" s="15" t="s">
        <v>41</v>
      </c>
      <c r="I171" s="16" t="s">
        <v>42</v>
      </c>
      <c r="J171" s="16" t="s">
        <v>42</v>
      </c>
      <c r="K171" s="16" t="s">
        <v>42</v>
      </c>
      <c r="L171" s="17" t="s">
        <v>1218</v>
      </c>
      <c r="M171" s="18" t="s">
        <v>1219</v>
      </c>
      <c r="N171" s="26" t="s">
        <v>1220</v>
      </c>
      <c r="O171" s="18" t="s">
        <v>1221</v>
      </c>
      <c r="P171" s="18" t="s">
        <v>189</v>
      </c>
      <c r="Q171" s="18" t="s">
        <v>1222</v>
      </c>
      <c r="R171" s="18"/>
      <c r="S171" s="18" t="s">
        <v>130</v>
      </c>
      <c r="T171" s="18" t="s">
        <v>63</v>
      </c>
      <c r="U171" s="18" t="str">
        <f>"2010"</f>
        <v>2010</v>
      </c>
      <c r="V171" s="18" t="str">
        <f>"02 92812722"</f>
        <v>02 92812722</v>
      </c>
      <c r="W171" s="18" t="str">
        <f>"0412138250"</f>
        <v>0412138250</v>
      </c>
      <c r="X171" s="26" t="s">
        <v>1223</v>
      </c>
      <c r="Y171" s="18"/>
      <c r="Z171" s="18" t="s">
        <v>54</v>
      </c>
      <c r="AA171" s="18">
        <v>80624798085</v>
      </c>
      <c r="AB171" s="18"/>
      <c r="AC171" s="18" t="s">
        <v>1224</v>
      </c>
    </row>
    <row r="172" spans="1:29" ht="90" customHeight="1" x14ac:dyDescent="0.3">
      <c r="A172" s="16" t="s">
        <v>42</v>
      </c>
      <c r="B172" s="16" t="s">
        <v>42</v>
      </c>
      <c r="C172" s="16" t="s">
        <v>42</v>
      </c>
      <c r="D172" s="16" t="s">
        <v>42</v>
      </c>
      <c r="E172" s="16" t="s">
        <v>42</v>
      </c>
      <c r="F172" s="16" t="s">
        <v>42</v>
      </c>
      <c r="G172" s="16" t="s">
        <v>42</v>
      </c>
      <c r="H172" s="15" t="s">
        <v>41</v>
      </c>
      <c r="I172" s="16" t="s">
        <v>42</v>
      </c>
      <c r="J172" s="16" t="s">
        <v>42</v>
      </c>
      <c r="K172" s="16" t="s">
        <v>42</v>
      </c>
      <c r="L172" s="17" t="s">
        <v>1225</v>
      </c>
      <c r="M172" s="18" t="s">
        <v>1226</v>
      </c>
      <c r="N172" s="26" t="s">
        <v>1227</v>
      </c>
      <c r="O172" s="18" t="s">
        <v>1228</v>
      </c>
      <c r="P172" s="18" t="s">
        <v>358</v>
      </c>
      <c r="Q172" s="18" t="s">
        <v>1229</v>
      </c>
      <c r="R172" s="18"/>
      <c r="S172" s="18" t="s">
        <v>1230</v>
      </c>
      <c r="T172" s="18" t="s">
        <v>63</v>
      </c>
      <c r="U172" s="18" t="str">
        <f>"2038"</f>
        <v>2038</v>
      </c>
      <c r="V172" s="18" t="str">
        <f>"0295648800"</f>
        <v>0295648800</v>
      </c>
      <c r="W172" s="18" t="str">
        <f>""</f>
        <v/>
      </c>
      <c r="X172" s="26" t="s">
        <v>1231</v>
      </c>
      <c r="Y172" s="18" t="s">
        <v>1232</v>
      </c>
      <c r="Z172" s="18" t="s">
        <v>123</v>
      </c>
      <c r="AA172" s="18">
        <v>36050045755</v>
      </c>
      <c r="AB172" s="18">
        <v>50045755</v>
      </c>
      <c r="AC172" s="18" t="s">
        <v>1233</v>
      </c>
    </row>
    <row r="173" spans="1:29" ht="90" customHeight="1" x14ac:dyDescent="0.3">
      <c r="A173" s="16" t="s">
        <v>42</v>
      </c>
      <c r="B173" s="16" t="s">
        <v>42</v>
      </c>
      <c r="C173" s="16" t="s">
        <v>42</v>
      </c>
      <c r="D173" s="16" t="s">
        <v>42</v>
      </c>
      <c r="E173" s="16" t="s">
        <v>42</v>
      </c>
      <c r="F173" s="16" t="s">
        <v>42</v>
      </c>
      <c r="G173" s="16" t="s">
        <v>42</v>
      </c>
      <c r="H173" s="15" t="s">
        <v>41</v>
      </c>
      <c r="I173" s="16" t="s">
        <v>42</v>
      </c>
      <c r="J173" s="16" t="s">
        <v>42</v>
      </c>
      <c r="K173" s="16" t="s">
        <v>42</v>
      </c>
      <c r="L173" s="17" t="s">
        <v>1234</v>
      </c>
      <c r="M173" s="18" t="s">
        <v>1235</v>
      </c>
      <c r="N173" s="26" t="s">
        <v>1236</v>
      </c>
      <c r="O173" s="18" t="s">
        <v>1237</v>
      </c>
      <c r="P173" s="18" t="s">
        <v>60</v>
      </c>
      <c r="Q173" s="18" t="s">
        <v>767</v>
      </c>
      <c r="R173" s="18" t="s">
        <v>1238</v>
      </c>
      <c r="S173" s="18" t="s">
        <v>1239</v>
      </c>
      <c r="T173" s="18" t="s">
        <v>63</v>
      </c>
      <c r="U173" s="18" t="str">
        <f>"2000"</f>
        <v>2000</v>
      </c>
      <c r="V173" s="18" t="str">
        <f>"02 9262 9066"</f>
        <v>02 9262 9066</v>
      </c>
      <c r="W173" s="18" t="str">
        <f>"0404043011"</f>
        <v>0404043011</v>
      </c>
      <c r="X173" s="26" t="s">
        <v>1240</v>
      </c>
      <c r="Y173" s="18" t="s">
        <v>1241</v>
      </c>
      <c r="Z173" s="18" t="s">
        <v>54</v>
      </c>
      <c r="AA173" s="18">
        <v>54109252360</v>
      </c>
      <c r="AB173" s="18">
        <v>109252360</v>
      </c>
      <c r="AC173" s="18" t="s">
        <v>1242</v>
      </c>
    </row>
    <row r="174" spans="1:29" ht="90" customHeight="1" x14ac:dyDescent="0.3">
      <c r="A174" s="16" t="s">
        <v>42</v>
      </c>
      <c r="B174" s="16" t="s">
        <v>42</v>
      </c>
      <c r="C174" s="16" t="s">
        <v>42</v>
      </c>
      <c r="D174" s="16" t="s">
        <v>42</v>
      </c>
      <c r="E174" s="16" t="s">
        <v>42</v>
      </c>
      <c r="F174" s="16" t="s">
        <v>42</v>
      </c>
      <c r="G174" s="16" t="s">
        <v>42</v>
      </c>
      <c r="H174" s="16" t="s">
        <v>42</v>
      </c>
      <c r="I174" s="15" t="s">
        <v>41</v>
      </c>
      <c r="J174" s="15" t="s">
        <v>41</v>
      </c>
      <c r="K174" s="16" t="s">
        <v>42</v>
      </c>
      <c r="L174" s="17" t="s">
        <v>1243</v>
      </c>
      <c r="M174" s="18" t="s">
        <v>1244</v>
      </c>
      <c r="N174" s="26" t="s">
        <v>1245</v>
      </c>
      <c r="O174" s="18" t="s">
        <v>1246</v>
      </c>
      <c r="P174" s="18" t="s">
        <v>335</v>
      </c>
      <c r="Q174" s="18" t="s">
        <v>1247</v>
      </c>
      <c r="R174" s="18"/>
      <c r="S174" s="18" t="s">
        <v>147</v>
      </c>
      <c r="T174" s="18" t="s">
        <v>63</v>
      </c>
      <c r="U174" s="18" t="str">
        <f>"2042"</f>
        <v>2042</v>
      </c>
      <c r="V174" s="18" t="str">
        <f>"02 9557 5533"</f>
        <v>02 9557 5533</v>
      </c>
      <c r="W174" s="18" t="str">
        <f>"0439362478"</f>
        <v>0439362478</v>
      </c>
      <c r="X174" s="26" t="s">
        <v>1248</v>
      </c>
      <c r="Y174" s="18"/>
      <c r="Z174" s="18" t="s">
        <v>123</v>
      </c>
      <c r="AA174" s="18">
        <v>34074882447</v>
      </c>
      <c r="AB174" s="18">
        <v>74882447</v>
      </c>
      <c r="AC174" s="18" t="s">
        <v>1249</v>
      </c>
    </row>
    <row r="175" spans="1:29" ht="90" customHeight="1" x14ac:dyDescent="0.3">
      <c r="A175" s="16" t="s">
        <v>42</v>
      </c>
      <c r="B175" s="16" t="s">
        <v>42</v>
      </c>
      <c r="C175" s="16" t="s">
        <v>42</v>
      </c>
      <c r="D175" s="16" t="s">
        <v>42</v>
      </c>
      <c r="E175" s="16" t="s">
        <v>42</v>
      </c>
      <c r="F175" s="16" t="s">
        <v>42</v>
      </c>
      <c r="G175" s="16" t="s">
        <v>42</v>
      </c>
      <c r="H175" s="16" t="s">
        <v>42</v>
      </c>
      <c r="I175" s="16" t="s">
        <v>42</v>
      </c>
      <c r="J175" s="16" t="s">
        <v>42</v>
      </c>
      <c r="K175" s="15" t="s">
        <v>41</v>
      </c>
      <c r="L175" s="17" t="s">
        <v>2162</v>
      </c>
      <c r="M175" s="18" t="s">
        <v>2163</v>
      </c>
      <c r="N175" s="26" t="s">
        <v>2164</v>
      </c>
      <c r="O175" s="18" t="s">
        <v>2165</v>
      </c>
      <c r="P175" s="18" t="s">
        <v>747</v>
      </c>
      <c r="Q175" s="18" t="s">
        <v>2166</v>
      </c>
      <c r="R175" s="18"/>
      <c r="S175" s="18" t="s">
        <v>90</v>
      </c>
      <c r="T175" s="18" t="s">
        <v>63</v>
      </c>
      <c r="U175" s="18">
        <v>2010</v>
      </c>
      <c r="V175" s="30" t="s">
        <v>2167</v>
      </c>
      <c r="W175" s="30" t="s">
        <v>2167</v>
      </c>
      <c r="X175" s="26" t="s">
        <v>2168</v>
      </c>
      <c r="Y175" s="18"/>
      <c r="Z175" s="18" t="s">
        <v>54</v>
      </c>
      <c r="AA175" s="18">
        <v>68511065256</v>
      </c>
      <c r="AB175" s="18"/>
      <c r="AC175" s="18" t="s">
        <v>2169</v>
      </c>
    </row>
    <row r="176" spans="1:29" ht="90" customHeight="1" x14ac:dyDescent="0.3">
      <c r="A176" s="16" t="s">
        <v>42</v>
      </c>
      <c r="B176" s="16" t="s">
        <v>42</v>
      </c>
      <c r="C176" s="16" t="s">
        <v>42</v>
      </c>
      <c r="D176" s="16" t="s">
        <v>42</v>
      </c>
      <c r="E176" s="16" t="s">
        <v>42</v>
      </c>
      <c r="F176" s="16" t="s">
        <v>42</v>
      </c>
      <c r="G176" s="16" t="s">
        <v>42</v>
      </c>
      <c r="H176" s="15" t="s">
        <v>41</v>
      </c>
      <c r="I176" s="16" t="s">
        <v>42</v>
      </c>
      <c r="J176" s="16" t="s">
        <v>42</v>
      </c>
      <c r="K176" s="16" t="s">
        <v>42</v>
      </c>
      <c r="L176" s="17" t="s">
        <v>1250</v>
      </c>
      <c r="M176" s="18" t="s">
        <v>1251</v>
      </c>
      <c r="N176" s="26" t="s">
        <v>1252</v>
      </c>
      <c r="O176" s="18" t="s">
        <v>1253</v>
      </c>
      <c r="P176" s="18" t="s">
        <v>60</v>
      </c>
      <c r="Q176" s="18" t="s">
        <v>1254</v>
      </c>
      <c r="R176" s="18"/>
      <c r="S176" s="18" t="s">
        <v>1255</v>
      </c>
      <c r="T176" s="18" t="s">
        <v>634</v>
      </c>
      <c r="U176" s="18" t="str">
        <f>"3066"</f>
        <v>3066</v>
      </c>
      <c r="V176" s="18" t="str">
        <f>"0388400100"</f>
        <v>0388400100</v>
      </c>
      <c r="W176" s="18" t="str">
        <f>"0400060410"</f>
        <v>0400060410</v>
      </c>
      <c r="X176" s="26" t="s">
        <v>1256</v>
      </c>
      <c r="Y176" s="18"/>
      <c r="Z176" s="18" t="s">
        <v>54</v>
      </c>
      <c r="AA176" s="18">
        <v>37195068036</v>
      </c>
      <c r="AB176" s="18">
        <v>600347073</v>
      </c>
      <c r="AC176" s="18" t="s">
        <v>1257</v>
      </c>
    </row>
    <row r="177" spans="1:29" ht="90" customHeight="1" x14ac:dyDescent="0.3">
      <c r="A177" s="16" t="s">
        <v>42</v>
      </c>
      <c r="B177" s="16" t="s">
        <v>42</v>
      </c>
      <c r="C177" s="16" t="s">
        <v>42</v>
      </c>
      <c r="D177" s="16" t="s">
        <v>42</v>
      </c>
      <c r="E177" s="16" t="s">
        <v>42</v>
      </c>
      <c r="F177" s="16" t="s">
        <v>42</v>
      </c>
      <c r="G177" s="16" t="s">
        <v>42</v>
      </c>
      <c r="H177" s="15" t="s">
        <v>41</v>
      </c>
      <c r="I177" s="15" t="s">
        <v>41</v>
      </c>
      <c r="J177" s="16" t="s">
        <v>42</v>
      </c>
      <c r="K177" s="16" t="s">
        <v>42</v>
      </c>
      <c r="L177" s="17" t="s">
        <v>1258</v>
      </c>
      <c r="M177" s="18" t="s">
        <v>1259</v>
      </c>
      <c r="N177" s="26" t="s">
        <v>1260</v>
      </c>
      <c r="O177" s="18" t="s">
        <v>1261</v>
      </c>
      <c r="P177" s="18" t="s">
        <v>60</v>
      </c>
      <c r="Q177" s="18" t="s">
        <v>570</v>
      </c>
      <c r="R177" s="18" t="s">
        <v>1115</v>
      </c>
      <c r="S177" s="18" t="s">
        <v>130</v>
      </c>
      <c r="T177" s="18" t="s">
        <v>63</v>
      </c>
      <c r="U177" s="18" t="str">
        <f>"2010"</f>
        <v>2010</v>
      </c>
      <c r="V177" s="18" t="str">
        <f>"0292810181"</f>
        <v>0292810181</v>
      </c>
      <c r="W177" s="18" t="str">
        <f>""</f>
        <v/>
      </c>
      <c r="X177" s="26" t="s">
        <v>1262</v>
      </c>
      <c r="Y177" s="18"/>
      <c r="Z177" s="18" t="s">
        <v>54</v>
      </c>
      <c r="AA177" s="18">
        <v>84060568756</v>
      </c>
      <c r="AB177" s="18">
        <v>60568756</v>
      </c>
      <c r="AC177" s="18" t="s">
        <v>263</v>
      </c>
    </row>
    <row r="178" spans="1:29" ht="90" customHeight="1" x14ac:dyDescent="0.3">
      <c r="A178" s="16" t="s">
        <v>42</v>
      </c>
      <c r="B178" s="16" t="s">
        <v>42</v>
      </c>
      <c r="C178" s="16" t="s">
        <v>42</v>
      </c>
      <c r="D178" s="16" t="s">
        <v>42</v>
      </c>
      <c r="E178" s="16" t="s">
        <v>42</v>
      </c>
      <c r="F178" s="16" t="s">
        <v>42</v>
      </c>
      <c r="G178" s="16" t="s">
        <v>42</v>
      </c>
      <c r="H178" s="15" t="s">
        <v>41</v>
      </c>
      <c r="I178" s="15" t="s">
        <v>41</v>
      </c>
      <c r="J178" s="16" t="s">
        <v>42</v>
      </c>
      <c r="K178" s="16" t="s">
        <v>42</v>
      </c>
      <c r="L178" s="17" t="s">
        <v>1263</v>
      </c>
      <c r="M178" s="18" t="s">
        <v>1264</v>
      </c>
      <c r="N178" s="26" t="s">
        <v>1265</v>
      </c>
      <c r="O178" s="18" t="s">
        <v>1266</v>
      </c>
      <c r="P178" s="18" t="s">
        <v>1267</v>
      </c>
      <c r="Q178" s="18" t="s">
        <v>1268</v>
      </c>
      <c r="R178" s="18"/>
      <c r="S178" s="18" t="s">
        <v>83</v>
      </c>
      <c r="T178" s="18" t="s">
        <v>63</v>
      </c>
      <c r="U178" s="18" t="str">
        <f>"2001"</f>
        <v>2001</v>
      </c>
      <c r="V178" s="18" t="str">
        <f>"+61(0)428507200"</f>
        <v>+61(0)428507200</v>
      </c>
      <c r="W178" s="18" t="str">
        <f>""</f>
        <v/>
      </c>
      <c r="X178" s="26" t="s">
        <v>1269</v>
      </c>
      <c r="Y178" s="18"/>
      <c r="Z178" s="18" t="s">
        <v>85</v>
      </c>
      <c r="AA178" s="18">
        <v>14871660474</v>
      </c>
      <c r="AB178" s="18"/>
      <c r="AC178" s="18" t="s">
        <v>55</v>
      </c>
    </row>
    <row r="179" spans="1:29" ht="90" customHeight="1" x14ac:dyDescent="0.3">
      <c r="A179" s="16" t="s">
        <v>42</v>
      </c>
      <c r="B179" s="16" t="s">
        <v>42</v>
      </c>
      <c r="C179" s="16" t="s">
        <v>42</v>
      </c>
      <c r="D179" s="16" t="s">
        <v>42</v>
      </c>
      <c r="E179" s="16" t="s">
        <v>42</v>
      </c>
      <c r="F179" s="16" t="s">
        <v>42</v>
      </c>
      <c r="G179" s="16" t="s">
        <v>42</v>
      </c>
      <c r="H179" s="15" t="s">
        <v>41</v>
      </c>
      <c r="I179" s="15" t="s">
        <v>41</v>
      </c>
      <c r="J179" s="16" t="s">
        <v>42</v>
      </c>
      <c r="K179" s="16" t="s">
        <v>42</v>
      </c>
      <c r="L179" s="17" t="s">
        <v>1270</v>
      </c>
      <c r="M179" s="18" t="s">
        <v>1271</v>
      </c>
      <c r="N179" s="26" t="s">
        <v>1272</v>
      </c>
      <c r="O179" s="18" t="s">
        <v>1273</v>
      </c>
      <c r="P179" s="18" t="s">
        <v>60</v>
      </c>
      <c r="Q179" s="18" t="s">
        <v>1274</v>
      </c>
      <c r="R179" s="18" t="s">
        <v>1275</v>
      </c>
      <c r="S179" s="18" t="s">
        <v>1177</v>
      </c>
      <c r="T179" s="18" t="s">
        <v>63</v>
      </c>
      <c r="U179" s="18">
        <v>2021</v>
      </c>
      <c r="V179" s="18" t="str">
        <f>"02 90165526"</f>
        <v>02 90165526</v>
      </c>
      <c r="W179" s="18" t="str">
        <f>"0438042066"</f>
        <v>0438042066</v>
      </c>
      <c r="X179" s="26" t="s">
        <v>1276</v>
      </c>
      <c r="Y179" s="18" t="s">
        <v>1277</v>
      </c>
      <c r="Z179" s="18" t="s">
        <v>54</v>
      </c>
      <c r="AA179" s="18">
        <v>36003150730</v>
      </c>
      <c r="AB179" s="18"/>
      <c r="AC179" s="18" t="s">
        <v>176</v>
      </c>
    </row>
    <row r="180" spans="1:29" ht="90" customHeight="1" x14ac:dyDescent="0.3">
      <c r="A180" s="16" t="s">
        <v>42</v>
      </c>
      <c r="B180" s="16" t="s">
        <v>42</v>
      </c>
      <c r="C180" s="16" t="s">
        <v>42</v>
      </c>
      <c r="D180" s="16" t="s">
        <v>42</v>
      </c>
      <c r="E180" s="16" t="s">
        <v>42</v>
      </c>
      <c r="F180" s="16" t="s">
        <v>42</v>
      </c>
      <c r="G180" s="16" t="s">
        <v>42</v>
      </c>
      <c r="H180" s="16" t="s">
        <v>42</v>
      </c>
      <c r="I180" s="16" t="s">
        <v>42</v>
      </c>
      <c r="J180" s="16" t="s">
        <v>42</v>
      </c>
      <c r="K180" s="15" t="s">
        <v>41</v>
      </c>
      <c r="L180" s="17" t="s">
        <v>1278</v>
      </c>
      <c r="M180" s="18" t="s">
        <v>1279</v>
      </c>
      <c r="N180" s="26" t="s">
        <v>1280</v>
      </c>
      <c r="O180" s="18" t="s">
        <v>1281</v>
      </c>
      <c r="P180" s="18" t="s">
        <v>60</v>
      </c>
      <c r="Q180" s="18" t="s">
        <v>1282</v>
      </c>
      <c r="R180" s="18"/>
      <c r="S180" s="18" t="s">
        <v>1283</v>
      </c>
      <c r="T180" s="18" t="s">
        <v>63</v>
      </c>
      <c r="U180" s="18" t="str">
        <f>"2015"</f>
        <v>2015</v>
      </c>
      <c r="V180" s="18" t="str">
        <f>"0466345643"</f>
        <v>0466345643</v>
      </c>
      <c r="W180" s="18" t="str">
        <f>""</f>
        <v/>
      </c>
      <c r="X180" s="26" t="s">
        <v>1284</v>
      </c>
      <c r="Y180" s="18"/>
      <c r="Z180" s="18" t="s">
        <v>54</v>
      </c>
      <c r="AA180" s="18">
        <v>54160840077</v>
      </c>
      <c r="AB180" s="18"/>
      <c r="AC180" s="18" t="s">
        <v>1285</v>
      </c>
    </row>
    <row r="181" spans="1:29" ht="90" customHeight="1" x14ac:dyDescent="0.3">
      <c r="A181" s="16" t="s">
        <v>42</v>
      </c>
      <c r="B181" s="16" t="s">
        <v>42</v>
      </c>
      <c r="C181" s="16" t="s">
        <v>42</v>
      </c>
      <c r="D181" s="16" t="s">
        <v>42</v>
      </c>
      <c r="E181" s="16" t="s">
        <v>42</v>
      </c>
      <c r="F181" s="16" t="s">
        <v>42</v>
      </c>
      <c r="G181" s="16" t="s">
        <v>42</v>
      </c>
      <c r="H181" s="16" t="s">
        <v>42</v>
      </c>
      <c r="I181" s="16" t="s">
        <v>42</v>
      </c>
      <c r="J181" s="16" t="s">
        <v>42</v>
      </c>
      <c r="K181" s="15" t="s">
        <v>41</v>
      </c>
      <c r="L181" s="17" t="s">
        <v>1286</v>
      </c>
      <c r="M181" s="18" t="s">
        <v>1287</v>
      </c>
      <c r="N181" s="26" t="s">
        <v>1288</v>
      </c>
      <c r="O181" s="18" t="s">
        <v>1289</v>
      </c>
      <c r="P181" s="18" t="s">
        <v>60</v>
      </c>
      <c r="Q181" s="18" t="s">
        <v>1290</v>
      </c>
      <c r="R181" s="18"/>
      <c r="S181" s="18" t="s">
        <v>83</v>
      </c>
      <c r="T181" s="18" t="s">
        <v>63</v>
      </c>
      <c r="U181" s="18" t="str">
        <f>"2011"</f>
        <v>2011</v>
      </c>
      <c r="V181" s="18" t="str">
        <f>"0401 413 434"</f>
        <v>0401 413 434</v>
      </c>
      <c r="W181" s="18" t="str">
        <f>""</f>
        <v/>
      </c>
      <c r="X181" s="26" t="s">
        <v>1291</v>
      </c>
      <c r="Y181" s="18"/>
      <c r="Z181" s="18" t="s">
        <v>54</v>
      </c>
      <c r="AA181" s="18">
        <v>59606735844</v>
      </c>
      <c r="AB181" s="18">
        <v>606735844</v>
      </c>
      <c r="AC181" s="18" t="s">
        <v>1292</v>
      </c>
    </row>
    <row r="182" spans="1:29" ht="90" customHeight="1" x14ac:dyDescent="0.3">
      <c r="A182" s="16" t="s">
        <v>42</v>
      </c>
      <c r="B182" s="16" t="s">
        <v>42</v>
      </c>
      <c r="C182" s="16" t="s">
        <v>42</v>
      </c>
      <c r="D182" s="16" t="s">
        <v>42</v>
      </c>
      <c r="E182" s="16" t="s">
        <v>42</v>
      </c>
      <c r="F182" s="16" t="s">
        <v>42</v>
      </c>
      <c r="G182" s="16" t="s">
        <v>42</v>
      </c>
      <c r="H182" s="15" t="s">
        <v>41</v>
      </c>
      <c r="I182" s="16" t="s">
        <v>42</v>
      </c>
      <c r="J182" s="16" t="s">
        <v>42</v>
      </c>
      <c r="K182" s="16" t="s">
        <v>42</v>
      </c>
      <c r="L182" s="17" t="s">
        <v>1293</v>
      </c>
      <c r="M182" s="18" t="s">
        <v>1294</v>
      </c>
      <c r="N182" s="26" t="s">
        <v>1295</v>
      </c>
      <c r="O182" s="18" t="s">
        <v>1296</v>
      </c>
      <c r="P182" s="18" t="s">
        <v>60</v>
      </c>
      <c r="Q182" s="18" t="s">
        <v>1297</v>
      </c>
      <c r="R182" s="18"/>
      <c r="S182" s="18" t="s">
        <v>1298</v>
      </c>
      <c r="T182" s="18" t="s">
        <v>1299</v>
      </c>
      <c r="U182" s="18" t="str">
        <f>"7000"</f>
        <v>7000</v>
      </c>
      <c r="V182" s="18" t="str">
        <f>"0736082868"</f>
        <v>0736082868</v>
      </c>
      <c r="W182" s="18" t="str">
        <f>""</f>
        <v/>
      </c>
      <c r="X182" s="26" t="s">
        <v>1300</v>
      </c>
      <c r="Y182" s="18" t="s">
        <v>1301</v>
      </c>
      <c r="Z182" s="18" t="s">
        <v>54</v>
      </c>
      <c r="AA182" s="18">
        <v>49136084467</v>
      </c>
      <c r="AB182" s="18">
        <v>136084467</v>
      </c>
      <c r="AC182" s="18" t="s">
        <v>76</v>
      </c>
    </row>
    <row r="183" spans="1:29" ht="90" customHeight="1" x14ac:dyDescent="0.3">
      <c r="A183" s="16" t="s">
        <v>42</v>
      </c>
      <c r="B183" s="16" t="s">
        <v>42</v>
      </c>
      <c r="C183" s="16" t="s">
        <v>42</v>
      </c>
      <c r="D183" s="16" t="s">
        <v>42</v>
      </c>
      <c r="E183" s="16" t="s">
        <v>42</v>
      </c>
      <c r="F183" s="16" t="s">
        <v>42</v>
      </c>
      <c r="G183" s="16" t="s">
        <v>42</v>
      </c>
      <c r="H183" s="16" t="s">
        <v>42</v>
      </c>
      <c r="I183" s="15" t="s">
        <v>41</v>
      </c>
      <c r="J183" s="15" t="s">
        <v>41</v>
      </c>
      <c r="K183" s="16" t="s">
        <v>42</v>
      </c>
      <c r="L183" s="17" t="s">
        <v>1302</v>
      </c>
      <c r="M183" s="18" t="s">
        <v>1303</v>
      </c>
      <c r="N183" s="26" t="s">
        <v>1304</v>
      </c>
      <c r="O183" s="18" t="s">
        <v>1305</v>
      </c>
      <c r="P183" s="18" t="s">
        <v>60</v>
      </c>
      <c r="Q183" s="18" t="s">
        <v>1306</v>
      </c>
      <c r="R183" s="18"/>
      <c r="S183" s="18" t="s">
        <v>1307</v>
      </c>
      <c r="T183" s="18" t="s">
        <v>63</v>
      </c>
      <c r="U183" s="18" t="str">
        <f>"2087"</f>
        <v>2087</v>
      </c>
      <c r="V183" s="18" t="str">
        <f>"02 9452 4911"</f>
        <v>02 9452 4911</v>
      </c>
      <c r="W183" s="18" t="str">
        <f>"0419 501 681"</f>
        <v>0419 501 681</v>
      </c>
      <c r="X183" s="26" t="s">
        <v>1308</v>
      </c>
      <c r="Y183" s="18"/>
      <c r="Z183" s="18" t="s">
        <v>54</v>
      </c>
      <c r="AA183" s="18">
        <v>12144996396</v>
      </c>
      <c r="AB183" s="18"/>
      <c r="AC183" s="18" t="s">
        <v>1309</v>
      </c>
    </row>
    <row r="184" spans="1:29" ht="90" customHeight="1" x14ac:dyDescent="0.3">
      <c r="A184" s="16" t="s">
        <v>42</v>
      </c>
      <c r="B184" s="16" t="s">
        <v>42</v>
      </c>
      <c r="C184" s="16" t="s">
        <v>42</v>
      </c>
      <c r="D184" s="16" t="s">
        <v>42</v>
      </c>
      <c r="E184" s="16" t="s">
        <v>42</v>
      </c>
      <c r="F184" s="16" t="s">
        <v>42</v>
      </c>
      <c r="G184" s="16" t="s">
        <v>42</v>
      </c>
      <c r="H184" s="15" t="s">
        <v>41</v>
      </c>
      <c r="I184" s="16" t="s">
        <v>42</v>
      </c>
      <c r="J184" s="16" t="s">
        <v>42</v>
      </c>
      <c r="K184" s="15" t="s">
        <v>41</v>
      </c>
      <c r="L184" s="17" t="s">
        <v>1310</v>
      </c>
      <c r="M184" s="18" t="s">
        <v>1311</v>
      </c>
      <c r="N184" s="26" t="s">
        <v>1312</v>
      </c>
      <c r="O184" s="18" t="s">
        <v>2095</v>
      </c>
      <c r="P184" s="18" t="s">
        <v>47</v>
      </c>
      <c r="Q184" s="18" t="s">
        <v>1313</v>
      </c>
      <c r="R184" s="18"/>
      <c r="S184" s="18" t="s">
        <v>130</v>
      </c>
      <c r="T184" s="18" t="s">
        <v>63</v>
      </c>
      <c r="U184" s="18" t="str">
        <f>"2010"</f>
        <v>2010</v>
      </c>
      <c r="V184" s="18" t="str">
        <f>"0296988140"</f>
        <v>0296988140</v>
      </c>
      <c r="W184" s="18" t="str">
        <f>"0421119644"</f>
        <v>0421119644</v>
      </c>
      <c r="X184" s="26" t="s">
        <v>2096</v>
      </c>
      <c r="Y184" s="18" t="s">
        <v>1311</v>
      </c>
      <c r="Z184" s="18" t="s">
        <v>123</v>
      </c>
      <c r="AA184" s="18">
        <v>36147035550</v>
      </c>
      <c r="AB184" s="18"/>
      <c r="AC184" s="18" t="s">
        <v>1314</v>
      </c>
    </row>
    <row r="185" spans="1:29" ht="90" customHeight="1" x14ac:dyDescent="0.3">
      <c r="A185" s="16" t="s">
        <v>42</v>
      </c>
      <c r="B185" s="16" t="s">
        <v>42</v>
      </c>
      <c r="C185" s="16" t="s">
        <v>42</v>
      </c>
      <c r="D185" s="16" t="s">
        <v>42</v>
      </c>
      <c r="E185" s="16" t="s">
        <v>42</v>
      </c>
      <c r="F185" s="16" t="s">
        <v>42</v>
      </c>
      <c r="G185" s="16" t="s">
        <v>42</v>
      </c>
      <c r="H185" s="15" t="s">
        <v>41</v>
      </c>
      <c r="I185" s="16" t="s">
        <v>42</v>
      </c>
      <c r="J185" s="16" t="s">
        <v>42</v>
      </c>
      <c r="K185" s="16" t="s">
        <v>42</v>
      </c>
      <c r="L185" s="17" t="s">
        <v>1315</v>
      </c>
      <c r="M185" s="18" t="s">
        <v>1316</v>
      </c>
      <c r="N185" s="26" t="s">
        <v>1317</v>
      </c>
      <c r="O185" s="18" t="s">
        <v>1318</v>
      </c>
      <c r="P185" s="18" t="s">
        <v>1319</v>
      </c>
      <c r="Q185" s="18" t="s">
        <v>1320</v>
      </c>
      <c r="R185" s="18"/>
      <c r="S185" s="18" t="s">
        <v>83</v>
      </c>
      <c r="T185" s="18" t="s">
        <v>63</v>
      </c>
      <c r="U185" s="18" t="str">
        <f>"2000"</f>
        <v>2000</v>
      </c>
      <c r="V185" s="18" t="str">
        <f>"02 9232 6969"</f>
        <v>02 9232 6969</v>
      </c>
      <c r="W185" s="18" t="str">
        <f>"0403 244 642"</f>
        <v>0403 244 642</v>
      </c>
      <c r="X185" s="26" t="s">
        <v>1321</v>
      </c>
      <c r="Y185" s="18"/>
      <c r="Z185" s="18" t="s">
        <v>123</v>
      </c>
      <c r="AA185" s="18">
        <v>53628446631</v>
      </c>
      <c r="AB185" s="18">
        <v>628446631</v>
      </c>
      <c r="AC185" s="18" t="s">
        <v>1322</v>
      </c>
    </row>
    <row r="186" spans="1:29" ht="90" customHeight="1" x14ac:dyDescent="0.3">
      <c r="A186" s="16" t="s">
        <v>42</v>
      </c>
      <c r="B186" s="16" t="s">
        <v>42</v>
      </c>
      <c r="C186" s="16" t="s">
        <v>42</v>
      </c>
      <c r="D186" s="16" t="s">
        <v>42</v>
      </c>
      <c r="E186" s="16" t="s">
        <v>42</v>
      </c>
      <c r="F186" s="16" t="s">
        <v>42</v>
      </c>
      <c r="G186" s="16" t="s">
        <v>42</v>
      </c>
      <c r="H186" s="15" t="s">
        <v>41</v>
      </c>
      <c r="I186" s="15" t="s">
        <v>41</v>
      </c>
      <c r="J186" s="16" t="s">
        <v>42</v>
      </c>
      <c r="K186" s="16" t="s">
        <v>42</v>
      </c>
      <c r="L186" s="17" t="s">
        <v>1323</v>
      </c>
      <c r="M186" s="18" t="s">
        <v>1324</v>
      </c>
      <c r="N186" s="26" t="s">
        <v>1325</v>
      </c>
      <c r="O186" s="18" t="s">
        <v>1326</v>
      </c>
      <c r="P186" s="18" t="s">
        <v>1327</v>
      </c>
      <c r="Q186" s="18" t="s">
        <v>1328</v>
      </c>
      <c r="R186" s="18" t="s">
        <v>1329</v>
      </c>
      <c r="S186" s="18" t="s">
        <v>83</v>
      </c>
      <c r="T186" s="18" t="s">
        <v>63</v>
      </c>
      <c r="U186" s="18" t="str">
        <f>"2000"</f>
        <v>2000</v>
      </c>
      <c r="V186" s="18" t="str">
        <f>"02 92325877"</f>
        <v>02 92325877</v>
      </c>
      <c r="W186" s="18" t="str">
        <f>""</f>
        <v/>
      </c>
      <c r="X186" s="26" t="s">
        <v>1330</v>
      </c>
      <c r="Y186" s="18" t="s">
        <v>1331</v>
      </c>
      <c r="Z186" s="18" t="s">
        <v>213</v>
      </c>
      <c r="AA186" s="18">
        <v>23000454624</v>
      </c>
      <c r="AB186" s="18">
        <v>454624</v>
      </c>
      <c r="AC186" s="18" t="s">
        <v>167</v>
      </c>
    </row>
    <row r="187" spans="1:29" ht="90" customHeight="1" x14ac:dyDescent="0.3">
      <c r="A187" s="16" t="s">
        <v>42</v>
      </c>
      <c r="B187" s="16" t="s">
        <v>42</v>
      </c>
      <c r="C187" s="16" t="s">
        <v>42</v>
      </c>
      <c r="D187" s="16" t="s">
        <v>42</v>
      </c>
      <c r="E187" s="16" t="s">
        <v>42</v>
      </c>
      <c r="F187" s="16" t="s">
        <v>42</v>
      </c>
      <c r="G187" s="16" t="s">
        <v>42</v>
      </c>
      <c r="H187" s="15" t="s">
        <v>41</v>
      </c>
      <c r="I187" s="16" t="s">
        <v>42</v>
      </c>
      <c r="J187" s="16" t="s">
        <v>42</v>
      </c>
      <c r="K187" s="16" t="s">
        <v>42</v>
      </c>
      <c r="L187" s="17" t="s">
        <v>1332</v>
      </c>
      <c r="M187" s="18" t="s">
        <v>1333</v>
      </c>
      <c r="N187" s="26" t="s">
        <v>1334</v>
      </c>
      <c r="O187" s="18" t="s">
        <v>1335</v>
      </c>
      <c r="P187" s="18" t="s">
        <v>871</v>
      </c>
      <c r="Q187" s="18" t="s">
        <v>1336</v>
      </c>
      <c r="R187" s="18"/>
      <c r="S187" s="18" t="s">
        <v>83</v>
      </c>
      <c r="T187" s="18" t="s">
        <v>63</v>
      </c>
      <c r="U187" s="18" t="str">
        <f>"2010"</f>
        <v>2010</v>
      </c>
      <c r="V187" s="18" t="str">
        <f>"02 8354 5100"</f>
        <v>02 8354 5100</v>
      </c>
      <c r="W187" s="18" t="str">
        <f>""</f>
        <v/>
      </c>
      <c r="X187" s="26" t="s">
        <v>1337</v>
      </c>
      <c r="Y187" s="18"/>
      <c r="Z187" s="18" t="s">
        <v>213</v>
      </c>
      <c r="AA187" s="18">
        <v>68094740986</v>
      </c>
      <c r="AB187" s="18">
        <v>94740986</v>
      </c>
      <c r="AC187" s="18" t="s">
        <v>684</v>
      </c>
    </row>
    <row r="188" spans="1:29" ht="90" customHeight="1" x14ac:dyDescent="0.3">
      <c r="A188" s="16" t="s">
        <v>42</v>
      </c>
      <c r="B188" s="16" t="s">
        <v>42</v>
      </c>
      <c r="C188" s="16" t="s">
        <v>42</v>
      </c>
      <c r="D188" s="16" t="s">
        <v>42</v>
      </c>
      <c r="E188" s="16" t="s">
        <v>42</v>
      </c>
      <c r="F188" s="16" t="s">
        <v>42</v>
      </c>
      <c r="G188" s="16" t="s">
        <v>42</v>
      </c>
      <c r="H188" s="16" t="s">
        <v>42</v>
      </c>
      <c r="I188" s="15" t="s">
        <v>41</v>
      </c>
      <c r="J188" s="16" t="s">
        <v>42</v>
      </c>
      <c r="K188" s="16" t="s">
        <v>42</v>
      </c>
      <c r="L188" s="17" t="s">
        <v>1338</v>
      </c>
      <c r="M188" s="18" t="s">
        <v>1338</v>
      </c>
      <c r="N188" s="26" t="s">
        <v>1339</v>
      </c>
      <c r="O188" s="18" t="s">
        <v>1340</v>
      </c>
      <c r="P188" s="18" t="s">
        <v>47</v>
      </c>
      <c r="Q188" s="18" t="s">
        <v>1341</v>
      </c>
      <c r="R188" s="18"/>
      <c r="S188" s="18" t="s">
        <v>1342</v>
      </c>
      <c r="T188" s="18" t="s">
        <v>63</v>
      </c>
      <c r="U188" s="18" t="str">
        <f>"2260"</f>
        <v>2260</v>
      </c>
      <c r="V188" s="18" t="str">
        <f>"0243859126"</f>
        <v>0243859126</v>
      </c>
      <c r="W188" s="18" t="str">
        <f>"0412134316"</f>
        <v>0412134316</v>
      </c>
      <c r="X188" s="26" t="s">
        <v>1343</v>
      </c>
      <c r="Y188" s="18"/>
      <c r="Z188" s="18" t="s">
        <v>54</v>
      </c>
      <c r="AA188" s="18">
        <v>22002843763</v>
      </c>
      <c r="AB188" s="18">
        <v>2843763</v>
      </c>
      <c r="AC188" s="18" t="s">
        <v>1344</v>
      </c>
    </row>
    <row r="189" spans="1:29" ht="90" customHeight="1" x14ac:dyDescent="0.3">
      <c r="A189" s="16" t="s">
        <v>42</v>
      </c>
      <c r="B189" s="16" t="s">
        <v>42</v>
      </c>
      <c r="C189" s="16" t="s">
        <v>42</v>
      </c>
      <c r="D189" s="16" t="s">
        <v>42</v>
      </c>
      <c r="E189" s="16" t="s">
        <v>42</v>
      </c>
      <c r="F189" s="16" t="s">
        <v>42</v>
      </c>
      <c r="G189" s="16" t="s">
        <v>42</v>
      </c>
      <c r="H189" s="15" t="s">
        <v>41</v>
      </c>
      <c r="I189" s="16" t="s">
        <v>42</v>
      </c>
      <c r="J189" s="15" t="s">
        <v>41</v>
      </c>
      <c r="K189" s="16" t="s">
        <v>42</v>
      </c>
      <c r="L189" s="17" t="s">
        <v>1345</v>
      </c>
      <c r="M189" s="18" t="s">
        <v>1346</v>
      </c>
      <c r="N189" s="26" t="s">
        <v>1347</v>
      </c>
      <c r="O189" s="18" t="s">
        <v>1348</v>
      </c>
      <c r="P189" s="18" t="s">
        <v>1349</v>
      </c>
      <c r="Q189" s="18" t="s">
        <v>1350</v>
      </c>
      <c r="R189" s="18"/>
      <c r="S189" s="18" t="s">
        <v>121</v>
      </c>
      <c r="T189" s="18" t="s">
        <v>63</v>
      </c>
      <c r="U189" s="18" t="str">
        <f>"2008"</f>
        <v>2008</v>
      </c>
      <c r="V189" s="18" t="str">
        <f>"02 9698 5933"</f>
        <v>02 9698 5933</v>
      </c>
      <c r="W189" s="18" t="str">
        <f>"0410487193"</f>
        <v>0410487193</v>
      </c>
      <c r="X189" s="26" t="s">
        <v>1351</v>
      </c>
      <c r="Y189" s="18" t="s">
        <v>1352</v>
      </c>
      <c r="Z189" s="18" t="s">
        <v>54</v>
      </c>
      <c r="AA189" s="18">
        <v>43353412187</v>
      </c>
      <c r="AB189" s="18"/>
      <c r="AC189" s="18" t="s">
        <v>1353</v>
      </c>
    </row>
    <row r="190" spans="1:29" ht="90" customHeight="1" x14ac:dyDescent="0.3">
      <c r="A190" s="16" t="s">
        <v>42</v>
      </c>
      <c r="B190" s="16" t="s">
        <v>42</v>
      </c>
      <c r="C190" s="16" t="s">
        <v>42</v>
      </c>
      <c r="D190" s="16" t="s">
        <v>42</v>
      </c>
      <c r="E190" s="16" t="s">
        <v>42</v>
      </c>
      <c r="F190" s="16" t="s">
        <v>42</v>
      </c>
      <c r="G190" s="16" t="s">
        <v>42</v>
      </c>
      <c r="H190" s="15" t="s">
        <v>41</v>
      </c>
      <c r="I190" s="16" t="s">
        <v>42</v>
      </c>
      <c r="J190" s="16" t="s">
        <v>42</v>
      </c>
      <c r="K190" s="16" t="s">
        <v>42</v>
      </c>
      <c r="L190" s="17" t="s">
        <v>1354</v>
      </c>
      <c r="M190" s="18" t="s">
        <v>1355</v>
      </c>
      <c r="N190" s="26" t="s">
        <v>1356</v>
      </c>
      <c r="O190" s="18" t="s">
        <v>1357</v>
      </c>
      <c r="P190" s="18" t="s">
        <v>60</v>
      </c>
      <c r="Q190" s="18" t="s">
        <v>1358</v>
      </c>
      <c r="R190" s="18"/>
      <c r="S190" s="18" t="s">
        <v>473</v>
      </c>
      <c r="T190" s="18" t="s">
        <v>63</v>
      </c>
      <c r="U190" s="18" t="str">
        <f>"2000"</f>
        <v>2000</v>
      </c>
      <c r="V190" s="18" t="str">
        <f>"0418 248 010"</f>
        <v>0418 248 010</v>
      </c>
      <c r="W190" s="18" t="str">
        <f>"0418 248 010"</f>
        <v>0418 248 010</v>
      </c>
      <c r="X190" s="26" t="s">
        <v>1359</v>
      </c>
      <c r="Y190" s="18" t="s">
        <v>1360</v>
      </c>
      <c r="Z190" s="18" t="s">
        <v>54</v>
      </c>
      <c r="AA190" s="18">
        <v>51100969793</v>
      </c>
      <c r="AB190" s="18"/>
      <c r="AC190" s="18" t="s">
        <v>1054</v>
      </c>
    </row>
    <row r="191" spans="1:29" ht="90" customHeight="1" x14ac:dyDescent="0.3">
      <c r="A191" s="16" t="s">
        <v>42</v>
      </c>
      <c r="B191" s="16" t="s">
        <v>42</v>
      </c>
      <c r="C191" s="16" t="s">
        <v>42</v>
      </c>
      <c r="D191" s="16" t="s">
        <v>42</v>
      </c>
      <c r="E191" s="15" t="s">
        <v>41</v>
      </c>
      <c r="F191" s="16" t="s">
        <v>42</v>
      </c>
      <c r="G191" s="16" t="s">
        <v>42</v>
      </c>
      <c r="H191" s="16" t="s">
        <v>42</v>
      </c>
      <c r="I191" s="15" t="s">
        <v>41</v>
      </c>
      <c r="J191" s="16" t="s">
        <v>42</v>
      </c>
      <c r="K191" s="16" t="s">
        <v>42</v>
      </c>
      <c r="L191" s="17" t="s">
        <v>1361</v>
      </c>
      <c r="M191" s="18" t="s">
        <v>1362</v>
      </c>
      <c r="N191" s="26" t="s">
        <v>1363</v>
      </c>
      <c r="O191" s="18" t="s">
        <v>1364</v>
      </c>
      <c r="P191" s="18" t="s">
        <v>1365</v>
      </c>
      <c r="Q191" s="18" t="s">
        <v>1366</v>
      </c>
      <c r="R191" s="18"/>
      <c r="S191" s="18" t="s">
        <v>1177</v>
      </c>
      <c r="T191" s="18" t="s">
        <v>63</v>
      </c>
      <c r="U191" s="18" t="str">
        <f>"2021"</f>
        <v>2021</v>
      </c>
      <c r="V191" s="18" t="str">
        <f>"02 8065 7401"</f>
        <v>02 8065 7401</v>
      </c>
      <c r="W191" s="18" t="str">
        <f>""</f>
        <v/>
      </c>
      <c r="X191" s="26" t="s">
        <v>1367</v>
      </c>
      <c r="Y191" s="18"/>
      <c r="Z191" s="18" t="s">
        <v>54</v>
      </c>
      <c r="AA191" s="18">
        <v>97134359372</v>
      </c>
      <c r="AB191" s="18">
        <v>134359372</v>
      </c>
      <c r="AC191" s="18" t="s">
        <v>1368</v>
      </c>
    </row>
    <row r="192" spans="1:29" ht="90" customHeight="1" x14ac:dyDescent="0.3">
      <c r="A192" s="16" t="s">
        <v>42</v>
      </c>
      <c r="B192" s="16" t="s">
        <v>42</v>
      </c>
      <c r="C192" s="16" t="s">
        <v>42</v>
      </c>
      <c r="D192" s="16" t="s">
        <v>42</v>
      </c>
      <c r="E192" s="16" t="s">
        <v>42</v>
      </c>
      <c r="F192" s="16" t="s">
        <v>42</v>
      </c>
      <c r="G192" s="16" t="s">
        <v>42</v>
      </c>
      <c r="H192" s="16" t="s">
        <v>42</v>
      </c>
      <c r="I192" s="15" t="s">
        <v>41</v>
      </c>
      <c r="J192" s="15" t="s">
        <v>41</v>
      </c>
      <c r="K192" s="16" t="s">
        <v>42</v>
      </c>
      <c r="L192" s="17" t="s">
        <v>1369</v>
      </c>
      <c r="M192" s="18" t="s">
        <v>1370</v>
      </c>
      <c r="N192" s="26" t="s">
        <v>1371</v>
      </c>
      <c r="O192" s="18" t="s">
        <v>1372</v>
      </c>
      <c r="P192" s="18" t="s">
        <v>1373</v>
      </c>
      <c r="Q192" s="18">
        <v>2</v>
      </c>
      <c r="R192" s="18" t="s">
        <v>1374</v>
      </c>
      <c r="S192" s="18" t="s">
        <v>1375</v>
      </c>
      <c r="T192" s="18" t="s">
        <v>63</v>
      </c>
      <c r="U192" s="18" t="str">
        <f>"2017"</f>
        <v>2017</v>
      </c>
      <c r="V192" s="18" t="str">
        <f>"0292903300"</f>
        <v>0292903300</v>
      </c>
      <c r="W192" s="18" t="str">
        <f>"0421 916 236"</f>
        <v>0421 916 236</v>
      </c>
      <c r="X192" s="26" t="s">
        <v>1376</v>
      </c>
      <c r="Y192" s="18" t="s">
        <v>1377</v>
      </c>
      <c r="Z192" s="18" t="s">
        <v>213</v>
      </c>
      <c r="AA192" s="18">
        <v>49082370063</v>
      </c>
      <c r="AB192" s="18">
        <v>82370063</v>
      </c>
      <c r="AC192" s="18" t="s">
        <v>1378</v>
      </c>
    </row>
    <row r="193" spans="1:29" ht="90" customHeight="1" x14ac:dyDescent="0.3">
      <c r="A193" s="16" t="s">
        <v>42</v>
      </c>
      <c r="B193" s="16" t="s">
        <v>42</v>
      </c>
      <c r="C193" s="16" t="s">
        <v>42</v>
      </c>
      <c r="D193" s="16" t="s">
        <v>42</v>
      </c>
      <c r="E193" s="16" t="s">
        <v>42</v>
      </c>
      <c r="F193" s="16" t="s">
        <v>42</v>
      </c>
      <c r="G193" s="16" t="s">
        <v>42</v>
      </c>
      <c r="H193" s="16" t="s">
        <v>42</v>
      </c>
      <c r="I193" s="15" t="s">
        <v>41</v>
      </c>
      <c r="J193" s="15" t="s">
        <v>41</v>
      </c>
      <c r="K193" s="16" t="s">
        <v>42</v>
      </c>
      <c r="L193" s="22" t="s">
        <v>1379</v>
      </c>
      <c r="M193" s="18" t="s">
        <v>1380</v>
      </c>
      <c r="N193" s="26" t="s">
        <v>1381</v>
      </c>
      <c r="O193" s="18" t="s">
        <v>1382</v>
      </c>
      <c r="P193" s="18" t="s">
        <v>60</v>
      </c>
      <c r="Q193" s="18" t="s">
        <v>1383</v>
      </c>
      <c r="R193" s="18" t="s">
        <v>1384</v>
      </c>
      <c r="S193" s="18" t="s">
        <v>1385</v>
      </c>
      <c r="T193" s="18" t="s">
        <v>788</v>
      </c>
      <c r="U193" s="18">
        <v>6000</v>
      </c>
      <c r="V193" s="18" t="s">
        <v>1386</v>
      </c>
      <c r="W193" s="18" t="s">
        <v>1386</v>
      </c>
      <c r="X193" s="26" t="s">
        <v>1387</v>
      </c>
      <c r="Y193" s="18" t="s">
        <v>1379</v>
      </c>
      <c r="Z193" s="18" t="s">
        <v>54</v>
      </c>
      <c r="AA193" s="18">
        <v>24169889699</v>
      </c>
      <c r="AB193" s="18">
        <v>146195020</v>
      </c>
      <c r="AC193" s="18" t="s">
        <v>1388</v>
      </c>
    </row>
    <row r="194" spans="1:29" ht="90" customHeight="1" x14ac:dyDescent="0.3">
      <c r="A194" s="16" t="s">
        <v>42</v>
      </c>
      <c r="B194" s="16" t="s">
        <v>42</v>
      </c>
      <c r="C194" s="16" t="s">
        <v>42</v>
      </c>
      <c r="D194" s="16" t="s">
        <v>42</v>
      </c>
      <c r="E194" s="16" t="s">
        <v>42</v>
      </c>
      <c r="F194" s="16" t="s">
        <v>42</v>
      </c>
      <c r="G194" s="16" t="s">
        <v>42</v>
      </c>
      <c r="H194" s="16" t="s">
        <v>42</v>
      </c>
      <c r="I194" s="16" t="s">
        <v>42</v>
      </c>
      <c r="J194" s="16" t="s">
        <v>42</v>
      </c>
      <c r="K194" s="15" t="s">
        <v>41</v>
      </c>
      <c r="L194" s="17" t="s">
        <v>1389</v>
      </c>
      <c r="M194" s="18" t="s">
        <v>1390</v>
      </c>
      <c r="N194" s="26" t="s">
        <v>1391</v>
      </c>
      <c r="O194" s="18" t="s">
        <v>1392</v>
      </c>
      <c r="P194" s="18" t="s">
        <v>60</v>
      </c>
      <c r="Q194" s="18" t="s">
        <v>1393</v>
      </c>
      <c r="R194" s="18"/>
      <c r="S194" s="18" t="s">
        <v>1394</v>
      </c>
      <c r="T194" s="18" t="s">
        <v>63</v>
      </c>
      <c r="U194" s="18" t="str">
        <f>"2261"</f>
        <v>2261</v>
      </c>
      <c r="V194" s="18" t="str">
        <f>"0419462943"</f>
        <v>0419462943</v>
      </c>
      <c r="W194" s="18" t="str">
        <f>"0419462943"</f>
        <v>0419462943</v>
      </c>
      <c r="X194" s="26" t="s">
        <v>1395</v>
      </c>
      <c r="Y194" s="18"/>
      <c r="Z194" s="18" t="s">
        <v>54</v>
      </c>
      <c r="AA194" s="18">
        <v>25619179743</v>
      </c>
      <c r="AB194" s="18">
        <v>619179743</v>
      </c>
      <c r="AC194" s="18" t="s">
        <v>1396</v>
      </c>
    </row>
    <row r="195" spans="1:29" ht="90" customHeight="1" x14ac:dyDescent="0.3">
      <c r="A195" s="16" t="s">
        <v>42</v>
      </c>
      <c r="B195" s="16" t="s">
        <v>42</v>
      </c>
      <c r="C195" s="16" t="s">
        <v>42</v>
      </c>
      <c r="D195" s="16" t="s">
        <v>42</v>
      </c>
      <c r="E195" s="16" t="s">
        <v>42</v>
      </c>
      <c r="F195" s="16" t="s">
        <v>42</v>
      </c>
      <c r="G195" s="16" t="s">
        <v>42</v>
      </c>
      <c r="H195" s="15" t="s">
        <v>41</v>
      </c>
      <c r="I195" s="16" t="s">
        <v>42</v>
      </c>
      <c r="J195" s="16" t="s">
        <v>42</v>
      </c>
      <c r="K195" s="16" t="s">
        <v>42</v>
      </c>
      <c r="L195" s="17" t="s">
        <v>1397</v>
      </c>
      <c r="M195" s="18" t="s">
        <v>1398</v>
      </c>
      <c r="N195" s="26" t="s">
        <v>1399</v>
      </c>
      <c r="O195" s="18" t="s">
        <v>1400</v>
      </c>
      <c r="P195" s="18" t="s">
        <v>967</v>
      </c>
      <c r="Q195" s="18" t="s">
        <v>1401</v>
      </c>
      <c r="R195" s="18" t="s">
        <v>1402</v>
      </c>
      <c r="S195" s="18" t="s">
        <v>1403</v>
      </c>
      <c r="T195" s="18" t="s">
        <v>338</v>
      </c>
      <c r="U195" s="18">
        <v>4000</v>
      </c>
      <c r="V195" s="30" t="s">
        <v>1404</v>
      </c>
      <c r="W195" s="18"/>
      <c r="X195" s="26" t="s">
        <v>1405</v>
      </c>
      <c r="Y195" s="18"/>
      <c r="Z195" s="18" t="s">
        <v>213</v>
      </c>
      <c r="AA195" s="18">
        <v>55072891993</v>
      </c>
      <c r="AB195" s="18">
        <v>72891993</v>
      </c>
      <c r="AC195" s="18" t="s">
        <v>1388</v>
      </c>
    </row>
    <row r="196" spans="1:29" ht="90" customHeight="1" x14ac:dyDescent="0.3">
      <c r="A196" s="16" t="s">
        <v>42</v>
      </c>
      <c r="B196" s="16" t="s">
        <v>42</v>
      </c>
      <c r="C196" s="16" t="s">
        <v>42</v>
      </c>
      <c r="D196" s="16" t="s">
        <v>42</v>
      </c>
      <c r="E196" s="16" t="s">
        <v>42</v>
      </c>
      <c r="F196" s="16" t="s">
        <v>42</v>
      </c>
      <c r="G196" s="16" t="s">
        <v>42</v>
      </c>
      <c r="H196" s="15" t="s">
        <v>41</v>
      </c>
      <c r="I196" s="16" t="s">
        <v>42</v>
      </c>
      <c r="J196" s="16" t="s">
        <v>42</v>
      </c>
      <c r="K196" s="16" t="s">
        <v>42</v>
      </c>
      <c r="L196" s="17" t="s">
        <v>1406</v>
      </c>
      <c r="M196" s="18" t="s">
        <v>1407</v>
      </c>
      <c r="N196" s="26" t="s">
        <v>1408</v>
      </c>
      <c r="O196" s="18" t="s">
        <v>1409</v>
      </c>
      <c r="P196" s="18" t="s">
        <v>528</v>
      </c>
      <c r="Q196" s="18" t="s">
        <v>1410</v>
      </c>
      <c r="R196" s="18" t="s">
        <v>1411</v>
      </c>
      <c r="S196" s="18" t="s">
        <v>83</v>
      </c>
      <c r="T196" s="18" t="s">
        <v>63</v>
      </c>
      <c r="U196" s="18" t="str">
        <f>"2008"</f>
        <v>2008</v>
      </c>
      <c r="V196" s="18" t="str">
        <f>"0426047474"</f>
        <v>0426047474</v>
      </c>
      <c r="W196" s="18" t="str">
        <f>"0426047474"</f>
        <v>0426047474</v>
      </c>
      <c r="X196" s="26" t="s">
        <v>1412</v>
      </c>
      <c r="Y196" s="18"/>
      <c r="Z196" s="18" t="s">
        <v>54</v>
      </c>
      <c r="AA196" s="18">
        <v>23609207301</v>
      </c>
      <c r="AB196" s="18">
        <v>609207301</v>
      </c>
      <c r="AC196" s="18" t="s">
        <v>1413</v>
      </c>
    </row>
    <row r="197" spans="1:29" ht="90" customHeight="1" x14ac:dyDescent="0.3">
      <c r="A197" s="16" t="s">
        <v>42</v>
      </c>
      <c r="B197" s="16" t="s">
        <v>42</v>
      </c>
      <c r="C197" s="16" t="s">
        <v>42</v>
      </c>
      <c r="D197" s="16" t="s">
        <v>42</v>
      </c>
      <c r="E197" s="16" t="s">
        <v>42</v>
      </c>
      <c r="F197" s="16" t="s">
        <v>42</v>
      </c>
      <c r="G197" s="16" t="s">
        <v>42</v>
      </c>
      <c r="H197" s="16" t="s">
        <v>42</v>
      </c>
      <c r="I197" s="16" t="s">
        <v>42</v>
      </c>
      <c r="J197" s="16" t="s">
        <v>42</v>
      </c>
      <c r="K197" s="15" t="s">
        <v>41</v>
      </c>
      <c r="L197" s="17" t="s">
        <v>1414</v>
      </c>
      <c r="M197" s="18" t="s">
        <v>1415</v>
      </c>
      <c r="N197" s="26" t="s">
        <v>1416</v>
      </c>
      <c r="O197" s="18" t="s">
        <v>1417</v>
      </c>
      <c r="P197" s="18" t="s">
        <v>1418</v>
      </c>
      <c r="Q197" s="18" t="s">
        <v>560</v>
      </c>
      <c r="R197" s="18" t="s">
        <v>1419</v>
      </c>
      <c r="S197" s="18" t="s">
        <v>1420</v>
      </c>
      <c r="T197" s="18" t="s">
        <v>63</v>
      </c>
      <c r="U197" s="18" t="str">
        <f>"2300"</f>
        <v>2300</v>
      </c>
      <c r="V197" s="18" t="str">
        <f>"0419281574"</f>
        <v>0419281574</v>
      </c>
      <c r="W197" s="18" t="str">
        <f>"0419281574"</f>
        <v>0419281574</v>
      </c>
      <c r="X197" s="26" t="s">
        <v>1421</v>
      </c>
      <c r="Y197" s="18" t="s">
        <v>1422</v>
      </c>
      <c r="Z197" s="18" t="s">
        <v>54</v>
      </c>
      <c r="AA197" s="18">
        <v>79953650651</v>
      </c>
      <c r="AB197" s="18"/>
      <c r="AC197" s="18" t="s">
        <v>1423</v>
      </c>
    </row>
    <row r="198" spans="1:29" ht="90" customHeight="1" x14ac:dyDescent="0.3">
      <c r="A198" s="16" t="s">
        <v>42</v>
      </c>
      <c r="B198" s="16" t="s">
        <v>42</v>
      </c>
      <c r="C198" s="16" t="s">
        <v>42</v>
      </c>
      <c r="D198" s="16" t="s">
        <v>42</v>
      </c>
      <c r="E198" s="16" t="s">
        <v>42</v>
      </c>
      <c r="F198" s="16" t="s">
        <v>42</v>
      </c>
      <c r="G198" s="16" t="s">
        <v>42</v>
      </c>
      <c r="H198" s="16" t="s">
        <v>42</v>
      </c>
      <c r="I198" s="16" t="s">
        <v>42</v>
      </c>
      <c r="J198" s="15" t="s">
        <v>41</v>
      </c>
      <c r="K198" s="15" t="s">
        <v>41</v>
      </c>
      <c r="L198" s="17" t="s">
        <v>1424</v>
      </c>
      <c r="M198" s="18" t="s">
        <v>1425</v>
      </c>
      <c r="N198" s="26" t="s">
        <v>1426</v>
      </c>
      <c r="O198" s="18" t="s">
        <v>1427</v>
      </c>
      <c r="P198" s="18" t="s">
        <v>189</v>
      </c>
      <c r="Q198" s="18" t="s">
        <v>1428</v>
      </c>
      <c r="R198" s="18"/>
      <c r="S198" s="18" t="s">
        <v>1429</v>
      </c>
      <c r="T198" s="18" t="s">
        <v>63</v>
      </c>
      <c r="U198" s="18" t="str">
        <f>"2450"</f>
        <v>2450</v>
      </c>
      <c r="V198" s="18" t="str">
        <f>"0428 517 665"</f>
        <v>0428 517 665</v>
      </c>
      <c r="W198" s="18" t="str">
        <f>"0428 517 665"</f>
        <v>0428 517 665</v>
      </c>
      <c r="X198" s="26" t="s">
        <v>1430</v>
      </c>
      <c r="Y198" s="18" t="s">
        <v>1424</v>
      </c>
      <c r="Z198" s="18" t="s">
        <v>54</v>
      </c>
      <c r="AA198" s="18">
        <v>33464211454</v>
      </c>
      <c r="AB198" s="18"/>
      <c r="AC198" s="18" t="s">
        <v>1431</v>
      </c>
    </row>
    <row r="199" spans="1:29" ht="90" customHeight="1" x14ac:dyDescent="0.3">
      <c r="A199" s="15" t="s">
        <v>41</v>
      </c>
      <c r="B199" s="16" t="s">
        <v>42</v>
      </c>
      <c r="C199" s="16" t="s">
        <v>42</v>
      </c>
      <c r="D199" s="16" t="s">
        <v>42</v>
      </c>
      <c r="E199" s="15" t="s">
        <v>41</v>
      </c>
      <c r="F199" s="16" t="s">
        <v>42</v>
      </c>
      <c r="G199" s="16" t="s">
        <v>42</v>
      </c>
      <c r="H199" s="16" t="s">
        <v>42</v>
      </c>
      <c r="I199" s="16" t="s">
        <v>42</v>
      </c>
      <c r="J199" s="16" t="s">
        <v>42</v>
      </c>
      <c r="K199" s="15" t="s">
        <v>41</v>
      </c>
      <c r="L199" s="17" t="s">
        <v>1432</v>
      </c>
      <c r="M199" s="18" t="s">
        <v>1433</v>
      </c>
      <c r="N199" s="26" t="s">
        <v>1434</v>
      </c>
      <c r="O199" s="18" t="s">
        <v>1435</v>
      </c>
      <c r="P199" s="18" t="s">
        <v>1436</v>
      </c>
      <c r="Q199" s="18" t="s">
        <v>1437</v>
      </c>
      <c r="R199" s="18"/>
      <c r="S199" s="18" t="s">
        <v>1438</v>
      </c>
      <c r="T199" s="18" t="s">
        <v>63</v>
      </c>
      <c r="U199" s="18" t="str">
        <f>"2646"</f>
        <v>2646</v>
      </c>
      <c r="V199" s="18" t="str">
        <f>"+61 2 6033 0717"</f>
        <v>+61 2 6033 0717</v>
      </c>
      <c r="W199" s="18" t="str">
        <f>"0437690127"</f>
        <v>0437690127</v>
      </c>
      <c r="X199" s="26" t="s">
        <v>1439</v>
      </c>
      <c r="Y199" s="18"/>
      <c r="Z199" s="18" t="s">
        <v>54</v>
      </c>
      <c r="AA199" s="18">
        <v>95618132684</v>
      </c>
      <c r="AB199" s="18">
        <v>618132684</v>
      </c>
      <c r="AC199" s="18" t="s">
        <v>1440</v>
      </c>
    </row>
    <row r="200" spans="1:29" ht="90" customHeight="1" x14ac:dyDescent="0.3">
      <c r="A200" s="16" t="s">
        <v>42</v>
      </c>
      <c r="B200" s="16" t="s">
        <v>42</v>
      </c>
      <c r="C200" s="16" t="s">
        <v>42</v>
      </c>
      <c r="D200" s="16" t="s">
        <v>42</v>
      </c>
      <c r="E200" s="16" t="s">
        <v>42</v>
      </c>
      <c r="F200" s="16" t="s">
        <v>42</v>
      </c>
      <c r="G200" s="16" t="s">
        <v>42</v>
      </c>
      <c r="H200" s="15" t="s">
        <v>41</v>
      </c>
      <c r="I200" s="16" t="s">
        <v>42</v>
      </c>
      <c r="J200" s="16" t="s">
        <v>42</v>
      </c>
      <c r="K200" s="16" t="s">
        <v>42</v>
      </c>
      <c r="L200" s="17" t="s">
        <v>1441</v>
      </c>
      <c r="M200" s="18" t="s">
        <v>1442</v>
      </c>
      <c r="N200" s="26" t="s">
        <v>1443</v>
      </c>
      <c r="O200" s="18" t="s">
        <v>1444</v>
      </c>
      <c r="P200" s="18" t="s">
        <v>319</v>
      </c>
      <c r="Q200" s="18" t="s">
        <v>1445</v>
      </c>
      <c r="R200" s="18"/>
      <c r="S200" s="18" t="s">
        <v>1420</v>
      </c>
      <c r="T200" s="18" t="s">
        <v>63</v>
      </c>
      <c r="U200" s="18" t="str">
        <f>"2300"</f>
        <v>2300</v>
      </c>
      <c r="V200" s="18" t="str">
        <f>"02 4926 1078"</f>
        <v>02 4926 1078</v>
      </c>
      <c r="W200" s="18" t="str">
        <f>"0401 520 160"</f>
        <v>0401 520 160</v>
      </c>
      <c r="X200" s="26" t="s">
        <v>1446</v>
      </c>
      <c r="Y200" s="18" t="s">
        <v>1447</v>
      </c>
      <c r="Z200" s="18" t="s">
        <v>54</v>
      </c>
      <c r="AA200" s="18">
        <v>83140652188</v>
      </c>
      <c r="AB200" s="18">
        <v>140652188</v>
      </c>
      <c r="AC200" s="18" t="s">
        <v>1448</v>
      </c>
    </row>
    <row r="201" spans="1:29" ht="90" customHeight="1" x14ac:dyDescent="0.3">
      <c r="A201" s="16" t="s">
        <v>42</v>
      </c>
      <c r="B201" s="16" t="s">
        <v>42</v>
      </c>
      <c r="C201" s="16" t="s">
        <v>42</v>
      </c>
      <c r="D201" s="16" t="s">
        <v>42</v>
      </c>
      <c r="E201" s="16" t="s">
        <v>42</v>
      </c>
      <c r="F201" s="16" t="s">
        <v>42</v>
      </c>
      <c r="G201" s="16" t="s">
        <v>42</v>
      </c>
      <c r="H201" s="15" t="s">
        <v>41</v>
      </c>
      <c r="I201" s="16" t="s">
        <v>42</v>
      </c>
      <c r="J201" s="16" t="s">
        <v>42</v>
      </c>
      <c r="K201" s="16" t="s">
        <v>42</v>
      </c>
      <c r="L201" s="17" t="s">
        <v>1449</v>
      </c>
      <c r="M201" s="18" t="s">
        <v>1450</v>
      </c>
      <c r="N201" s="26" t="s">
        <v>1451</v>
      </c>
      <c r="O201" s="18" t="s">
        <v>1452</v>
      </c>
      <c r="P201" s="18" t="s">
        <v>1453</v>
      </c>
      <c r="Q201" s="18" t="s">
        <v>823</v>
      </c>
      <c r="R201" s="18" t="s">
        <v>1454</v>
      </c>
      <c r="S201" s="18" t="s">
        <v>392</v>
      </c>
      <c r="T201" s="18" t="s">
        <v>63</v>
      </c>
      <c r="U201" s="18" t="str">
        <f>"2060"</f>
        <v>2060</v>
      </c>
      <c r="V201" s="18" t="str">
        <f>"0299545011"</f>
        <v>0299545011</v>
      </c>
      <c r="W201" s="18" t="str">
        <f>"0410481355"</f>
        <v>0410481355</v>
      </c>
      <c r="X201" s="26" t="s">
        <v>1455</v>
      </c>
      <c r="Y201" s="18" t="s">
        <v>1456</v>
      </c>
      <c r="Z201" s="18" t="s">
        <v>123</v>
      </c>
      <c r="AA201" s="18" t="s">
        <v>2123</v>
      </c>
      <c r="AB201" s="18"/>
      <c r="AC201" s="18" t="s">
        <v>861</v>
      </c>
    </row>
    <row r="202" spans="1:29" ht="90" customHeight="1" x14ac:dyDescent="0.3">
      <c r="A202" s="16" t="s">
        <v>42</v>
      </c>
      <c r="B202" s="16" t="s">
        <v>42</v>
      </c>
      <c r="C202" s="16" t="s">
        <v>42</v>
      </c>
      <c r="D202" s="16" t="s">
        <v>42</v>
      </c>
      <c r="E202" s="16" t="s">
        <v>42</v>
      </c>
      <c r="F202" s="16" t="s">
        <v>42</v>
      </c>
      <c r="G202" s="16" t="s">
        <v>42</v>
      </c>
      <c r="H202" s="16" t="s">
        <v>42</v>
      </c>
      <c r="I202" s="16" t="s">
        <v>42</v>
      </c>
      <c r="J202" s="16" t="s">
        <v>42</v>
      </c>
      <c r="K202" s="15" t="s">
        <v>41</v>
      </c>
      <c r="L202" s="17" t="s">
        <v>1457</v>
      </c>
      <c r="M202" s="18" t="s">
        <v>1458</v>
      </c>
      <c r="N202" s="26" t="s">
        <v>1459</v>
      </c>
      <c r="O202" s="18" t="s">
        <v>1460</v>
      </c>
      <c r="P202" s="18" t="s">
        <v>60</v>
      </c>
      <c r="Q202" s="18" t="s">
        <v>1461</v>
      </c>
      <c r="R202" s="18"/>
      <c r="S202" s="18" t="s">
        <v>90</v>
      </c>
      <c r="T202" s="18" t="s">
        <v>63</v>
      </c>
      <c r="U202" s="18" t="str">
        <f>"2010"</f>
        <v>2010</v>
      </c>
      <c r="V202" s="18" t="str">
        <f>"02 8097 4246"</f>
        <v>02 8097 4246</v>
      </c>
      <c r="W202" s="18" t="str">
        <f>"0426812010"</f>
        <v>0426812010</v>
      </c>
      <c r="X202" s="26" t="s">
        <v>1462</v>
      </c>
      <c r="Y202" s="18"/>
      <c r="Z202" s="18" t="s">
        <v>54</v>
      </c>
      <c r="AA202" s="18">
        <v>21603876384</v>
      </c>
      <c r="AB202" s="18">
        <v>603876384</v>
      </c>
      <c r="AC202" s="18" t="s">
        <v>451</v>
      </c>
    </row>
    <row r="203" spans="1:29" ht="90" customHeight="1" x14ac:dyDescent="0.3">
      <c r="A203" s="15" t="s">
        <v>41</v>
      </c>
      <c r="B203" s="15" t="s">
        <v>41</v>
      </c>
      <c r="C203" s="16" t="s">
        <v>42</v>
      </c>
      <c r="D203" s="16" t="s">
        <v>42</v>
      </c>
      <c r="E203" s="15" t="s">
        <v>41</v>
      </c>
      <c r="F203" s="16" t="s">
        <v>42</v>
      </c>
      <c r="G203" s="16" t="s">
        <v>42</v>
      </c>
      <c r="H203" s="16" t="s">
        <v>42</v>
      </c>
      <c r="I203" s="15" t="s">
        <v>41</v>
      </c>
      <c r="J203" s="16" t="s">
        <v>42</v>
      </c>
      <c r="K203" s="16" t="s">
        <v>42</v>
      </c>
      <c r="L203" s="17" t="s">
        <v>1463</v>
      </c>
      <c r="M203" s="18" t="s">
        <v>1464</v>
      </c>
      <c r="N203" s="26" t="s">
        <v>1465</v>
      </c>
      <c r="O203" s="18" t="s">
        <v>1466</v>
      </c>
      <c r="P203" s="18" t="s">
        <v>60</v>
      </c>
      <c r="Q203" s="18" t="s">
        <v>1467</v>
      </c>
      <c r="R203" s="18"/>
      <c r="S203" s="18" t="s">
        <v>83</v>
      </c>
      <c r="T203" s="18" t="s">
        <v>63</v>
      </c>
      <c r="U203" s="18" t="str">
        <f>"2010"</f>
        <v>2010</v>
      </c>
      <c r="V203" s="18" t="str">
        <f>"0282028000"</f>
        <v>0282028000</v>
      </c>
      <c r="W203" s="18" t="str">
        <f>"0408900161"</f>
        <v>0408900161</v>
      </c>
      <c r="X203" s="26" t="s">
        <v>1468</v>
      </c>
      <c r="Y203" s="18" t="s">
        <v>1469</v>
      </c>
      <c r="Z203" s="18" t="s">
        <v>123</v>
      </c>
      <c r="AA203" s="18">
        <v>53667373703</v>
      </c>
      <c r="AB203" s="18">
        <v>8892135</v>
      </c>
      <c r="AC203" s="18" t="s">
        <v>1470</v>
      </c>
    </row>
    <row r="204" spans="1:29" ht="90" customHeight="1" x14ac:dyDescent="0.3">
      <c r="A204" s="16" t="s">
        <v>42</v>
      </c>
      <c r="B204" s="16" t="s">
        <v>42</v>
      </c>
      <c r="C204" s="16" t="s">
        <v>42</v>
      </c>
      <c r="D204" s="16" t="s">
        <v>42</v>
      </c>
      <c r="E204" s="16" t="s">
        <v>42</v>
      </c>
      <c r="F204" s="16" t="s">
        <v>42</v>
      </c>
      <c r="G204" s="16" t="s">
        <v>42</v>
      </c>
      <c r="H204" s="15" t="s">
        <v>41</v>
      </c>
      <c r="I204" s="16" t="s">
        <v>42</v>
      </c>
      <c r="J204" s="16" t="s">
        <v>42</v>
      </c>
      <c r="K204" s="16" t="s">
        <v>42</v>
      </c>
      <c r="L204" s="17" t="s">
        <v>1471</v>
      </c>
      <c r="M204" s="18" t="s">
        <v>1472</v>
      </c>
      <c r="N204" s="26" t="s">
        <v>1473</v>
      </c>
      <c r="O204" s="18" t="s">
        <v>1474</v>
      </c>
      <c r="P204" s="18" t="s">
        <v>60</v>
      </c>
      <c r="Q204" s="18" t="s">
        <v>1475</v>
      </c>
      <c r="R204" s="18"/>
      <c r="S204" s="18" t="s">
        <v>1476</v>
      </c>
      <c r="T204" s="18" t="s">
        <v>63</v>
      </c>
      <c r="U204" s="18" t="str">
        <f>"2050"</f>
        <v>2050</v>
      </c>
      <c r="V204" s="18" t="str">
        <f>"02-93194388"</f>
        <v>02-93194388</v>
      </c>
      <c r="W204" s="18" t="str">
        <f>""</f>
        <v/>
      </c>
      <c r="X204" s="26" t="s">
        <v>1477</v>
      </c>
      <c r="Y204" s="18"/>
      <c r="Z204" s="18" t="s">
        <v>54</v>
      </c>
      <c r="AA204" s="18">
        <v>86163802391</v>
      </c>
      <c r="AB204" s="18"/>
      <c r="AC204" s="18" t="s">
        <v>1478</v>
      </c>
    </row>
    <row r="205" spans="1:29" ht="90" customHeight="1" x14ac:dyDescent="0.3">
      <c r="A205" s="15" t="s">
        <v>41</v>
      </c>
      <c r="B205" s="15" t="s">
        <v>41</v>
      </c>
      <c r="C205" s="15" t="s">
        <v>41</v>
      </c>
      <c r="D205" s="16" t="s">
        <v>42</v>
      </c>
      <c r="E205" s="16" t="s">
        <v>42</v>
      </c>
      <c r="F205" s="16" t="s">
        <v>42</v>
      </c>
      <c r="G205" s="16" t="s">
        <v>42</v>
      </c>
      <c r="H205" s="16" t="s">
        <v>42</v>
      </c>
      <c r="I205" s="16" t="s">
        <v>42</v>
      </c>
      <c r="J205" s="16" t="s">
        <v>42</v>
      </c>
      <c r="K205" s="16" t="s">
        <v>42</v>
      </c>
      <c r="L205" s="17" t="s">
        <v>2231</v>
      </c>
      <c r="M205" s="18" t="s">
        <v>2232</v>
      </c>
      <c r="N205" s="26" t="s">
        <v>2233</v>
      </c>
      <c r="O205" s="18" t="s">
        <v>1479</v>
      </c>
      <c r="P205" s="18" t="s">
        <v>506</v>
      </c>
      <c r="Q205" s="18" t="s">
        <v>2234</v>
      </c>
      <c r="R205" s="18"/>
      <c r="S205" s="18" t="s">
        <v>83</v>
      </c>
      <c r="T205" s="18" t="s">
        <v>63</v>
      </c>
      <c r="U205" s="18" t="str">
        <f>"2000"</f>
        <v>2000</v>
      </c>
      <c r="V205" s="19" t="s">
        <v>1480</v>
      </c>
      <c r="W205" s="19" t="s">
        <v>1481</v>
      </c>
      <c r="X205" s="26" t="s">
        <v>2235</v>
      </c>
      <c r="Y205" s="18"/>
      <c r="Z205" s="18" t="s">
        <v>1482</v>
      </c>
      <c r="AA205" s="18">
        <v>62065072193</v>
      </c>
      <c r="AB205" s="39" t="s">
        <v>1483</v>
      </c>
      <c r="AC205" s="18" t="s">
        <v>1484</v>
      </c>
    </row>
    <row r="206" spans="1:29" ht="90" customHeight="1" x14ac:dyDescent="0.3">
      <c r="A206" s="15" t="s">
        <v>41</v>
      </c>
      <c r="B206" s="15" t="s">
        <v>41</v>
      </c>
      <c r="C206" s="15" t="s">
        <v>41</v>
      </c>
      <c r="D206" s="15" t="s">
        <v>41</v>
      </c>
      <c r="E206" s="15" t="s">
        <v>41</v>
      </c>
      <c r="F206" s="16" t="s">
        <v>42</v>
      </c>
      <c r="G206" s="16" t="s">
        <v>42</v>
      </c>
      <c r="H206" s="16" t="s">
        <v>42</v>
      </c>
      <c r="I206" s="16" t="s">
        <v>42</v>
      </c>
      <c r="J206" s="15" t="s">
        <v>41</v>
      </c>
      <c r="K206" s="16" t="s">
        <v>42</v>
      </c>
      <c r="L206" s="17" t="s">
        <v>1485</v>
      </c>
      <c r="M206" s="18" t="s">
        <v>1486</v>
      </c>
      <c r="N206" s="26" t="s">
        <v>1487</v>
      </c>
      <c r="O206" s="18" t="s">
        <v>1488</v>
      </c>
      <c r="P206" s="18" t="s">
        <v>1489</v>
      </c>
      <c r="Q206" s="18" t="s">
        <v>1490</v>
      </c>
      <c r="R206" s="18"/>
      <c r="S206" s="18" t="s">
        <v>83</v>
      </c>
      <c r="T206" s="18" t="s">
        <v>63</v>
      </c>
      <c r="U206" s="18" t="str">
        <f>"2000"</f>
        <v>2000</v>
      </c>
      <c r="V206" s="18" t="str">
        <f>"+61 2 9248 9800"</f>
        <v>+61 2 9248 9800</v>
      </c>
      <c r="W206" s="18" t="str">
        <f>""</f>
        <v/>
      </c>
      <c r="X206" s="26" t="s">
        <v>1491</v>
      </c>
      <c r="Y206" s="18" t="s">
        <v>1492</v>
      </c>
      <c r="Z206" s="18" t="s">
        <v>85</v>
      </c>
      <c r="AA206" s="18">
        <v>42003550972</v>
      </c>
      <c r="AB206" s="18"/>
      <c r="AC206" s="18" t="s">
        <v>124</v>
      </c>
    </row>
    <row r="207" spans="1:29" ht="90" customHeight="1" x14ac:dyDescent="0.3">
      <c r="A207" s="16" t="s">
        <v>42</v>
      </c>
      <c r="B207" s="16" t="s">
        <v>42</v>
      </c>
      <c r="C207" s="16" t="s">
        <v>42</v>
      </c>
      <c r="D207" s="16" t="s">
        <v>42</v>
      </c>
      <c r="E207" s="16" t="s">
        <v>42</v>
      </c>
      <c r="F207" s="16" t="s">
        <v>42</v>
      </c>
      <c r="G207" s="16" t="s">
        <v>42</v>
      </c>
      <c r="H207" s="16" t="s">
        <v>42</v>
      </c>
      <c r="I207" s="16" t="s">
        <v>42</v>
      </c>
      <c r="J207" s="15" t="s">
        <v>41</v>
      </c>
      <c r="K207" s="16" t="s">
        <v>42</v>
      </c>
      <c r="L207" s="17" t="s">
        <v>1493</v>
      </c>
      <c r="M207" s="18" t="s">
        <v>1494</v>
      </c>
      <c r="N207" s="26" t="s">
        <v>1495</v>
      </c>
      <c r="O207" s="18" t="s">
        <v>1496</v>
      </c>
      <c r="P207" s="18" t="s">
        <v>1497</v>
      </c>
      <c r="Q207" s="18" t="s">
        <v>1498</v>
      </c>
      <c r="R207" s="18" t="s">
        <v>1499</v>
      </c>
      <c r="S207" s="18" t="s">
        <v>83</v>
      </c>
      <c r="T207" s="18" t="s">
        <v>63</v>
      </c>
      <c r="U207" s="18" t="str">
        <f>"2000"</f>
        <v>2000</v>
      </c>
      <c r="V207" s="18" t="str">
        <f>"02 8270 8327"</f>
        <v>02 8270 8327</v>
      </c>
      <c r="W207" s="18" t="str">
        <f>"0488 990 244"</f>
        <v>0488 990 244</v>
      </c>
      <c r="X207" s="26" t="s">
        <v>1500</v>
      </c>
      <c r="Y207" s="18"/>
      <c r="Z207" s="18" t="s">
        <v>85</v>
      </c>
      <c r="AA207" s="18">
        <v>44140292762</v>
      </c>
      <c r="AB207" s="18">
        <v>140292762</v>
      </c>
      <c r="AC207" s="18" t="s">
        <v>124</v>
      </c>
    </row>
    <row r="208" spans="1:29" ht="90" customHeight="1" x14ac:dyDescent="0.3">
      <c r="A208" s="16" t="s">
        <v>42</v>
      </c>
      <c r="B208" s="16" t="s">
        <v>42</v>
      </c>
      <c r="C208" s="16" t="s">
        <v>42</v>
      </c>
      <c r="D208" s="16" t="s">
        <v>42</v>
      </c>
      <c r="E208" s="16" t="s">
        <v>42</v>
      </c>
      <c r="F208" s="16" t="s">
        <v>42</v>
      </c>
      <c r="G208" s="16" t="s">
        <v>42</v>
      </c>
      <c r="H208" s="15" t="s">
        <v>41</v>
      </c>
      <c r="I208" s="16" t="s">
        <v>42</v>
      </c>
      <c r="J208" s="16" t="s">
        <v>42</v>
      </c>
      <c r="K208" s="16" t="s">
        <v>42</v>
      </c>
      <c r="L208" s="17" t="s">
        <v>1501</v>
      </c>
      <c r="M208" s="18" t="s">
        <v>1502</v>
      </c>
      <c r="N208" s="26" t="s">
        <v>1503</v>
      </c>
      <c r="O208" s="18" t="s">
        <v>1504</v>
      </c>
      <c r="P208" s="18" t="s">
        <v>60</v>
      </c>
      <c r="Q208" s="18" t="s">
        <v>1505</v>
      </c>
      <c r="R208" s="18" t="s">
        <v>1506</v>
      </c>
      <c r="S208" s="18" t="s">
        <v>147</v>
      </c>
      <c r="T208" s="18" t="s">
        <v>63</v>
      </c>
      <c r="U208" s="18" t="str">
        <f>"2042"</f>
        <v>2042</v>
      </c>
      <c r="V208" s="18" t="str">
        <f>"02 9519 6800"</f>
        <v>02 9519 6800</v>
      </c>
      <c r="W208" s="18" t="str">
        <f>"0413 678 235"</f>
        <v>0413 678 235</v>
      </c>
      <c r="X208" s="26" t="s">
        <v>1507</v>
      </c>
      <c r="Y208" s="18" t="s">
        <v>1508</v>
      </c>
      <c r="Z208" s="18" t="s">
        <v>54</v>
      </c>
      <c r="AA208" s="18">
        <v>13165409567</v>
      </c>
      <c r="AB208" s="18"/>
      <c r="AC208" s="18" t="s">
        <v>1509</v>
      </c>
    </row>
    <row r="209" spans="1:29" ht="90" customHeight="1" x14ac:dyDescent="0.3">
      <c r="A209" s="16" t="s">
        <v>42</v>
      </c>
      <c r="B209" s="16" t="s">
        <v>42</v>
      </c>
      <c r="C209" s="16" t="s">
        <v>42</v>
      </c>
      <c r="D209" s="16" t="s">
        <v>42</v>
      </c>
      <c r="E209" s="16" t="s">
        <v>42</v>
      </c>
      <c r="F209" s="16" t="s">
        <v>42</v>
      </c>
      <c r="G209" s="16" t="s">
        <v>42</v>
      </c>
      <c r="H209" s="15" t="s">
        <v>41</v>
      </c>
      <c r="I209" s="16" t="s">
        <v>42</v>
      </c>
      <c r="J209" s="16" t="s">
        <v>42</v>
      </c>
      <c r="K209" s="16" t="s">
        <v>42</v>
      </c>
      <c r="L209" s="17" t="s">
        <v>1510</v>
      </c>
      <c r="M209" s="18" t="s">
        <v>1511</v>
      </c>
      <c r="N209" s="26" t="s">
        <v>1512</v>
      </c>
      <c r="O209" s="18" t="s">
        <v>1513</v>
      </c>
      <c r="P209" s="18" t="s">
        <v>60</v>
      </c>
      <c r="Q209" s="18" t="s">
        <v>1514</v>
      </c>
      <c r="R209" s="18"/>
      <c r="S209" s="18" t="s">
        <v>392</v>
      </c>
      <c r="T209" s="18" t="s">
        <v>63</v>
      </c>
      <c r="U209" s="18" t="str">
        <f>"2060"</f>
        <v>2060</v>
      </c>
      <c r="V209" s="18" t="str">
        <f>"61 2 9922 2799"</f>
        <v>61 2 9922 2799</v>
      </c>
      <c r="W209" s="18" t="str">
        <f>"0407948810"</f>
        <v>0407948810</v>
      </c>
      <c r="X209" s="26" t="s">
        <v>1515</v>
      </c>
      <c r="Y209" s="18" t="s">
        <v>1516</v>
      </c>
      <c r="Z209" s="18" t="s">
        <v>54</v>
      </c>
      <c r="AA209" s="18">
        <v>26000663623</v>
      </c>
      <c r="AB209" s="18">
        <v>663623</v>
      </c>
      <c r="AC209" s="18" t="s">
        <v>1517</v>
      </c>
    </row>
    <row r="210" spans="1:29" ht="90" customHeight="1" x14ac:dyDescent="0.3">
      <c r="A210" s="16" t="s">
        <v>42</v>
      </c>
      <c r="B210" s="16" t="s">
        <v>42</v>
      </c>
      <c r="C210" s="16" t="s">
        <v>42</v>
      </c>
      <c r="D210" s="16" t="s">
        <v>42</v>
      </c>
      <c r="E210" s="16" t="s">
        <v>42</v>
      </c>
      <c r="F210" s="16" t="s">
        <v>42</v>
      </c>
      <c r="G210" s="16" t="s">
        <v>42</v>
      </c>
      <c r="H210" s="16" t="s">
        <v>42</v>
      </c>
      <c r="I210" s="15" t="s">
        <v>41</v>
      </c>
      <c r="J210" s="15" t="s">
        <v>41</v>
      </c>
      <c r="K210" s="16" t="s">
        <v>42</v>
      </c>
      <c r="L210" s="17" t="s">
        <v>1518</v>
      </c>
      <c r="M210" s="18" t="s">
        <v>1519</v>
      </c>
      <c r="N210" s="26" t="s">
        <v>1520</v>
      </c>
      <c r="O210" s="18" t="s">
        <v>1521</v>
      </c>
      <c r="P210" s="18" t="s">
        <v>60</v>
      </c>
      <c r="Q210" s="18" t="s">
        <v>1522</v>
      </c>
      <c r="R210" s="18"/>
      <c r="S210" s="18" t="s">
        <v>1177</v>
      </c>
      <c r="T210" s="18" t="s">
        <v>63</v>
      </c>
      <c r="U210" s="18" t="str">
        <f>"2021"</f>
        <v>2021</v>
      </c>
      <c r="V210" s="18" t="str">
        <f>"02 9361 4549"</f>
        <v>02 9361 4549</v>
      </c>
      <c r="W210" s="18" t="str">
        <f>""</f>
        <v/>
      </c>
      <c r="X210" s="26" t="s">
        <v>1523</v>
      </c>
      <c r="Y210" s="18"/>
      <c r="Z210" s="18" t="s">
        <v>54</v>
      </c>
      <c r="AA210" s="18">
        <v>65065578985</v>
      </c>
      <c r="AB210" s="18">
        <v>65578985</v>
      </c>
      <c r="AC210" s="18" t="s">
        <v>1524</v>
      </c>
    </row>
    <row r="211" spans="1:29" ht="90" customHeight="1" x14ac:dyDescent="0.3">
      <c r="A211" s="15" t="s">
        <v>41</v>
      </c>
      <c r="B211" s="15" t="s">
        <v>41</v>
      </c>
      <c r="C211" s="15" t="s">
        <v>41</v>
      </c>
      <c r="D211" s="15" t="s">
        <v>41</v>
      </c>
      <c r="E211" s="15" t="s">
        <v>41</v>
      </c>
      <c r="F211" s="16" t="s">
        <v>42</v>
      </c>
      <c r="G211" s="16" t="s">
        <v>42</v>
      </c>
      <c r="H211" s="16" t="s">
        <v>42</v>
      </c>
      <c r="I211" s="16" t="s">
        <v>42</v>
      </c>
      <c r="J211" s="16" t="s">
        <v>42</v>
      </c>
      <c r="K211" s="16" t="s">
        <v>42</v>
      </c>
      <c r="L211" s="17" t="s">
        <v>1525</v>
      </c>
      <c r="M211" s="18" t="s">
        <v>1526</v>
      </c>
      <c r="N211" s="26" t="s">
        <v>1527</v>
      </c>
      <c r="O211" s="18" t="s">
        <v>1528</v>
      </c>
      <c r="P211" s="18" t="s">
        <v>1529</v>
      </c>
      <c r="Q211" s="18" t="s">
        <v>1530</v>
      </c>
      <c r="R211" s="18" t="s">
        <v>1531</v>
      </c>
      <c r="S211" s="18" t="s">
        <v>83</v>
      </c>
      <c r="T211" s="18" t="s">
        <v>63</v>
      </c>
      <c r="U211" s="18" t="str">
        <f>"2000"</f>
        <v>2000</v>
      </c>
      <c r="V211" s="18" t="str">
        <f>"0282158959"</f>
        <v>0282158959</v>
      </c>
      <c r="W211" s="18" t="str">
        <f>"0434870176"</f>
        <v>0434870176</v>
      </c>
      <c r="X211" s="26" t="s">
        <v>1532</v>
      </c>
      <c r="Y211" s="18" t="s">
        <v>1533</v>
      </c>
      <c r="Z211" s="18" t="s">
        <v>213</v>
      </c>
      <c r="AA211" s="18">
        <v>59129012700</v>
      </c>
      <c r="AB211" s="18">
        <v>129012700</v>
      </c>
      <c r="AC211" s="18" t="s">
        <v>405</v>
      </c>
    </row>
    <row r="212" spans="1:29" ht="90" customHeight="1" x14ac:dyDescent="0.3">
      <c r="A212" s="16" t="s">
        <v>42</v>
      </c>
      <c r="B212" s="16" t="s">
        <v>42</v>
      </c>
      <c r="C212" s="16" t="s">
        <v>42</v>
      </c>
      <c r="D212" s="16" t="s">
        <v>42</v>
      </c>
      <c r="E212" s="16" t="s">
        <v>42</v>
      </c>
      <c r="F212" s="16" t="s">
        <v>42</v>
      </c>
      <c r="G212" s="16" t="s">
        <v>42</v>
      </c>
      <c r="H212" s="15" t="s">
        <v>41</v>
      </c>
      <c r="I212" s="16" t="s">
        <v>42</v>
      </c>
      <c r="J212" s="16" t="s">
        <v>42</v>
      </c>
      <c r="K212" s="16" t="s">
        <v>42</v>
      </c>
      <c r="L212" s="17" t="s">
        <v>1534</v>
      </c>
      <c r="M212" s="18" t="s">
        <v>1535</v>
      </c>
      <c r="N212" s="26" t="s">
        <v>1536</v>
      </c>
      <c r="O212" s="18" t="s">
        <v>1537</v>
      </c>
      <c r="P212" s="18" t="s">
        <v>60</v>
      </c>
      <c r="Q212" s="18" t="s">
        <v>1538</v>
      </c>
      <c r="R212" s="18" t="s">
        <v>1539</v>
      </c>
      <c r="S212" s="18" t="s">
        <v>392</v>
      </c>
      <c r="T212" s="18" t="s">
        <v>63</v>
      </c>
      <c r="U212" s="18" t="str">
        <f>"2060"</f>
        <v>2060</v>
      </c>
      <c r="V212" s="18" t="str">
        <f>"0299299988"</f>
        <v>0299299988</v>
      </c>
      <c r="W212" s="18" t="str">
        <f>"0412390402"</f>
        <v>0412390402</v>
      </c>
      <c r="X212" s="26" t="s">
        <v>1540</v>
      </c>
      <c r="Y212" s="18" t="s">
        <v>1541</v>
      </c>
      <c r="Z212" s="18" t="s">
        <v>123</v>
      </c>
      <c r="AA212" s="18">
        <v>85103593077</v>
      </c>
      <c r="AB212" s="18">
        <v>103593077</v>
      </c>
      <c r="AC212" s="18" t="s">
        <v>1542</v>
      </c>
    </row>
    <row r="213" spans="1:29" ht="90" customHeight="1" x14ac:dyDescent="0.3">
      <c r="A213" s="16" t="s">
        <v>42</v>
      </c>
      <c r="B213" s="16" t="s">
        <v>42</v>
      </c>
      <c r="C213" s="16" t="s">
        <v>42</v>
      </c>
      <c r="D213" s="16" t="s">
        <v>42</v>
      </c>
      <c r="E213" s="16" t="s">
        <v>42</v>
      </c>
      <c r="F213" s="16" t="s">
        <v>42</v>
      </c>
      <c r="G213" s="16" t="s">
        <v>42</v>
      </c>
      <c r="H213" s="15" t="s">
        <v>41</v>
      </c>
      <c r="I213" s="16" t="s">
        <v>42</v>
      </c>
      <c r="J213" s="16" t="s">
        <v>42</v>
      </c>
      <c r="K213" s="16" t="s">
        <v>42</v>
      </c>
      <c r="L213" s="17" t="s">
        <v>1543</v>
      </c>
      <c r="M213" s="18" t="s">
        <v>1544</v>
      </c>
      <c r="N213" s="26" t="s">
        <v>1545</v>
      </c>
      <c r="O213" s="18" t="s">
        <v>1546</v>
      </c>
      <c r="P213" s="18" t="s">
        <v>189</v>
      </c>
      <c r="Q213" s="18" t="s">
        <v>1547</v>
      </c>
      <c r="R213" s="18"/>
      <c r="S213" s="18" t="s">
        <v>90</v>
      </c>
      <c r="T213" s="18" t="s">
        <v>63</v>
      </c>
      <c r="U213" s="18" t="str">
        <f>"2010"</f>
        <v>2010</v>
      </c>
      <c r="V213" s="18" t="str">
        <f>"0292802180"</f>
        <v>0292802180</v>
      </c>
      <c r="W213" s="18" t="str">
        <f>"0424093310"</f>
        <v>0424093310</v>
      </c>
      <c r="X213" s="26" t="s">
        <v>1548</v>
      </c>
      <c r="Y213" s="18"/>
      <c r="Z213" s="18" t="s">
        <v>54</v>
      </c>
      <c r="AA213" s="18">
        <v>50108204191</v>
      </c>
      <c r="AB213" s="18">
        <v>108204191</v>
      </c>
      <c r="AC213" s="18" t="s">
        <v>1549</v>
      </c>
    </row>
    <row r="214" spans="1:29" ht="90" customHeight="1" x14ac:dyDescent="0.3">
      <c r="A214" s="16" t="s">
        <v>42</v>
      </c>
      <c r="B214" s="16" t="s">
        <v>42</v>
      </c>
      <c r="C214" s="16" t="s">
        <v>42</v>
      </c>
      <c r="D214" s="16" t="s">
        <v>42</v>
      </c>
      <c r="E214" s="16" t="s">
        <v>42</v>
      </c>
      <c r="F214" s="16" t="s">
        <v>42</v>
      </c>
      <c r="G214" s="16" t="s">
        <v>42</v>
      </c>
      <c r="H214" s="16" t="s">
        <v>42</v>
      </c>
      <c r="I214" s="38" t="s">
        <v>41</v>
      </c>
      <c r="J214" s="15" t="s">
        <v>41</v>
      </c>
      <c r="K214" s="15" t="s">
        <v>41</v>
      </c>
      <c r="L214" s="17" t="s">
        <v>2130</v>
      </c>
      <c r="M214" s="18" t="s">
        <v>2129</v>
      </c>
      <c r="N214" s="37" t="s">
        <v>1550</v>
      </c>
      <c r="O214" s="18" t="s">
        <v>2131</v>
      </c>
      <c r="P214" s="18" t="s">
        <v>60</v>
      </c>
      <c r="Q214" s="18" t="s">
        <v>607</v>
      </c>
      <c r="R214" s="18" t="s">
        <v>2132</v>
      </c>
      <c r="S214" s="18" t="s">
        <v>73</v>
      </c>
      <c r="T214" s="18" t="s">
        <v>63</v>
      </c>
      <c r="U214" s="18">
        <v>2095</v>
      </c>
      <c r="V214" s="18" t="str">
        <f>"0299760756"</f>
        <v>0299760756</v>
      </c>
      <c r="W214" s="18" t="str">
        <f>"0424208682"</f>
        <v>0424208682</v>
      </c>
      <c r="X214" s="37" t="s">
        <v>1551</v>
      </c>
      <c r="Y214" s="18" t="s">
        <v>1552</v>
      </c>
      <c r="Z214" s="18" t="s">
        <v>54</v>
      </c>
      <c r="AA214" s="18">
        <v>79568162276</v>
      </c>
      <c r="AB214" s="18">
        <v>163006693</v>
      </c>
      <c r="AC214" s="18" t="s">
        <v>2133</v>
      </c>
    </row>
    <row r="215" spans="1:29" ht="90" customHeight="1" x14ac:dyDescent="0.3">
      <c r="A215" s="16" t="s">
        <v>42</v>
      </c>
      <c r="B215" s="16" t="s">
        <v>42</v>
      </c>
      <c r="C215" s="16" t="s">
        <v>42</v>
      </c>
      <c r="D215" s="16" t="s">
        <v>42</v>
      </c>
      <c r="E215" s="16" t="s">
        <v>42</v>
      </c>
      <c r="F215" s="16" t="s">
        <v>42</v>
      </c>
      <c r="G215" s="16" t="s">
        <v>42</v>
      </c>
      <c r="H215" s="15" t="s">
        <v>41</v>
      </c>
      <c r="I215" s="15" t="s">
        <v>41</v>
      </c>
      <c r="J215" s="16" t="s">
        <v>42</v>
      </c>
      <c r="K215" s="16" t="s">
        <v>42</v>
      </c>
      <c r="L215" s="17" t="s">
        <v>1553</v>
      </c>
      <c r="M215" s="18" t="s">
        <v>1554</v>
      </c>
      <c r="N215" s="26" t="s">
        <v>1555</v>
      </c>
      <c r="O215" s="18" t="s">
        <v>1556</v>
      </c>
      <c r="P215" s="18" t="s">
        <v>1557</v>
      </c>
      <c r="Q215" s="18" t="s">
        <v>1558</v>
      </c>
      <c r="R215" s="18"/>
      <c r="S215" s="18" t="s">
        <v>83</v>
      </c>
      <c r="T215" s="18" t="s">
        <v>63</v>
      </c>
      <c r="U215" s="18" t="str">
        <f>"2000"</f>
        <v>2000</v>
      </c>
      <c r="V215" s="18" t="str">
        <f>"0299573988"</f>
        <v>0299573988</v>
      </c>
      <c r="W215" s="18" t="str">
        <f>"0412214555"</f>
        <v>0412214555</v>
      </c>
      <c r="X215" s="26" t="s">
        <v>1559</v>
      </c>
      <c r="Y215" s="18"/>
      <c r="Z215" s="18" t="s">
        <v>123</v>
      </c>
      <c r="AA215" s="18">
        <v>38002570854</v>
      </c>
      <c r="AB215" s="18">
        <v>2570854</v>
      </c>
      <c r="AC215" s="18" t="s">
        <v>118</v>
      </c>
    </row>
    <row r="216" spans="1:29" ht="90" customHeight="1" x14ac:dyDescent="0.3">
      <c r="A216" s="15" t="s">
        <v>41</v>
      </c>
      <c r="B216" s="16" t="s">
        <v>42</v>
      </c>
      <c r="C216" s="16" t="s">
        <v>42</v>
      </c>
      <c r="D216" s="15" t="s">
        <v>41</v>
      </c>
      <c r="E216" s="16" t="s">
        <v>42</v>
      </c>
      <c r="F216" s="16" t="s">
        <v>42</v>
      </c>
      <c r="G216" s="16" t="s">
        <v>42</v>
      </c>
      <c r="H216" s="16" t="s">
        <v>42</v>
      </c>
      <c r="I216" s="16" t="s">
        <v>42</v>
      </c>
      <c r="J216" s="16" t="s">
        <v>42</v>
      </c>
      <c r="K216" s="16" t="s">
        <v>42</v>
      </c>
      <c r="L216" s="17" t="s">
        <v>1560</v>
      </c>
      <c r="M216" s="18" t="s">
        <v>1561</v>
      </c>
      <c r="N216" s="26" t="s">
        <v>1562</v>
      </c>
      <c r="O216" s="18" t="s">
        <v>1563</v>
      </c>
      <c r="P216" s="18" t="s">
        <v>1564</v>
      </c>
      <c r="Q216" s="18" t="s">
        <v>1565</v>
      </c>
      <c r="R216" s="18" t="s">
        <v>1566</v>
      </c>
      <c r="S216" s="18" t="s">
        <v>130</v>
      </c>
      <c r="T216" s="18" t="s">
        <v>63</v>
      </c>
      <c r="U216" s="18" t="str">
        <f>"2010"</f>
        <v>2010</v>
      </c>
      <c r="V216" s="18" t="str">
        <f>"0283070121"</f>
        <v>0283070121</v>
      </c>
      <c r="W216" s="18" t="str">
        <f>""</f>
        <v/>
      </c>
      <c r="X216" s="26" t="s">
        <v>1567</v>
      </c>
      <c r="Y216" s="18"/>
      <c r="Z216" s="18" t="s">
        <v>123</v>
      </c>
      <c r="AA216" s="18">
        <v>25007437729</v>
      </c>
      <c r="AB216" s="18"/>
      <c r="AC216" s="18" t="s">
        <v>1568</v>
      </c>
    </row>
    <row r="217" spans="1:29" ht="90" customHeight="1" x14ac:dyDescent="0.3">
      <c r="A217" s="16" t="s">
        <v>42</v>
      </c>
      <c r="B217" s="16" t="s">
        <v>42</v>
      </c>
      <c r="C217" s="16" t="s">
        <v>42</v>
      </c>
      <c r="D217" s="16" t="s">
        <v>42</v>
      </c>
      <c r="E217" s="16" t="s">
        <v>42</v>
      </c>
      <c r="F217" s="16" t="s">
        <v>42</v>
      </c>
      <c r="G217" s="16" t="s">
        <v>42</v>
      </c>
      <c r="H217" s="15" t="s">
        <v>41</v>
      </c>
      <c r="I217" s="16" t="s">
        <v>42</v>
      </c>
      <c r="J217" s="16" t="s">
        <v>42</v>
      </c>
      <c r="K217" s="16" t="s">
        <v>42</v>
      </c>
      <c r="L217" s="17" t="s">
        <v>1569</v>
      </c>
      <c r="M217" s="18" t="s">
        <v>1570</v>
      </c>
      <c r="N217" s="26" t="s">
        <v>1571</v>
      </c>
      <c r="O217" s="18" t="s">
        <v>1572</v>
      </c>
      <c r="P217" s="18" t="s">
        <v>60</v>
      </c>
      <c r="Q217" s="18" t="s">
        <v>1573</v>
      </c>
      <c r="R217" s="18"/>
      <c r="S217" s="18" t="s">
        <v>1574</v>
      </c>
      <c r="T217" s="18" t="s">
        <v>63</v>
      </c>
      <c r="U217" s="18" t="str">
        <f>"2296"</f>
        <v>2296</v>
      </c>
      <c r="V217" s="18" t="str">
        <f>"0249615888"</f>
        <v>0249615888</v>
      </c>
      <c r="W217" s="18" t="str">
        <f>"0413245777"</f>
        <v>0413245777</v>
      </c>
      <c r="X217" s="26" t="s">
        <v>1575</v>
      </c>
      <c r="Y217" s="18" t="s">
        <v>1576</v>
      </c>
      <c r="Z217" s="18" t="s">
        <v>123</v>
      </c>
      <c r="AA217" s="18">
        <v>32131584846</v>
      </c>
      <c r="AB217" s="18">
        <v>131584846</v>
      </c>
      <c r="AC217" s="18" t="s">
        <v>1577</v>
      </c>
    </row>
    <row r="218" spans="1:29" ht="90" customHeight="1" x14ac:dyDescent="0.3">
      <c r="A218" s="16" t="s">
        <v>42</v>
      </c>
      <c r="B218" s="16" t="s">
        <v>42</v>
      </c>
      <c r="C218" s="16" t="s">
        <v>42</v>
      </c>
      <c r="D218" s="16" t="s">
        <v>42</v>
      </c>
      <c r="E218" s="16" t="s">
        <v>42</v>
      </c>
      <c r="F218" s="16" t="s">
        <v>42</v>
      </c>
      <c r="G218" s="16" t="s">
        <v>42</v>
      </c>
      <c r="H218" s="15" t="s">
        <v>41</v>
      </c>
      <c r="I218" s="16" t="s">
        <v>42</v>
      </c>
      <c r="J218" s="16" t="s">
        <v>42</v>
      </c>
      <c r="K218" s="15" t="s">
        <v>41</v>
      </c>
      <c r="L218" s="17" t="s">
        <v>1578</v>
      </c>
      <c r="M218" s="18" t="s">
        <v>1579</v>
      </c>
      <c r="N218" s="26" t="s">
        <v>1580</v>
      </c>
      <c r="O218" s="18" t="s">
        <v>1581</v>
      </c>
      <c r="P218" s="18" t="s">
        <v>60</v>
      </c>
      <c r="Q218" s="18" t="s">
        <v>1582</v>
      </c>
      <c r="R218" s="18"/>
      <c r="S218" s="18" t="s">
        <v>229</v>
      </c>
      <c r="T218" s="18" t="s">
        <v>63</v>
      </c>
      <c r="U218" s="18" t="str">
        <f>"2041"</f>
        <v>2041</v>
      </c>
      <c r="V218" s="18" t="str">
        <f>"0488475416"</f>
        <v>0488475416</v>
      </c>
      <c r="W218" s="18" t="str">
        <f>"0488475416"</f>
        <v>0488475416</v>
      </c>
      <c r="X218" s="26" t="s">
        <v>1583</v>
      </c>
      <c r="Y218" s="18"/>
      <c r="Z218" s="18" t="s">
        <v>54</v>
      </c>
      <c r="AA218" s="18">
        <v>61814388760</v>
      </c>
      <c r="AB218" s="18"/>
      <c r="AC218" s="18" t="s">
        <v>1584</v>
      </c>
    </row>
    <row r="219" spans="1:29" ht="90" customHeight="1" x14ac:dyDescent="0.3">
      <c r="A219" s="16" t="s">
        <v>42</v>
      </c>
      <c r="B219" s="16" t="s">
        <v>42</v>
      </c>
      <c r="C219" s="16" t="s">
        <v>42</v>
      </c>
      <c r="D219" s="16" t="s">
        <v>42</v>
      </c>
      <c r="E219" s="16" t="s">
        <v>42</v>
      </c>
      <c r="F219" s="16" t="s">
        <v>42</v>
      </c>
      <c r="G219" s="16" t="s">
        <v>42</v>
      </c>
      <c r="H219" s="15" t="s">
        <v>41</v>
      </c>
      <c r="I219" s="15" t="s">
        <v>41</v>
      </c>
      <c r="J219" s="16" t="s">
        <v>42</v>
      </c>
      <c r="K219" s="16" t="s">
        <v>42</v>
      </c>
      <c r="L219" s="17" t="s">
        <v>1585</v>
      </c>
      <c r="M219" s="18" t="s">
        <v>1586</v>
      </c>
      <c r="N219" s="26" t="s">
        <v>1587</v>
      </c>
      <c r="O219" s="18" t="s">
        <v>1588</v>
      </c>
      <c r="P219" s="18" t="s">
        <v>1589</v>
      </c>
      <c r="Q219" s="18" t="s">
        <v>1590</v>
      </c>
      <c r="R219" s="18"/>
      <c r="S219" s="18" t="s">
        <v>1591</v>
      </c>
      <c r="T219" s="18" t="s">
        <v>63</v>
      </c>
      <c r="U219" s="18" t="str">
        <f>"2010"</f>
        <v>2010</v>
      </c>
      <c r="V219" s="18" t="str">
        <f>"02 9690 0555"</f>
        <v>02 9690 0555</v>
      </c>
      <c r="W219" s="18" t="str">
        <f>"0418916797"</f>
        <v>0418916797</v>
      </c>
      <c r="X219" s="26" t="s">
        <v>1592</v>
      </c>
      <c r="Y219" s="18"/>
      <c r="Z219" s="18" t="s">
        <v>54</v>
      </c>
      <c r="AA219" s="18">
        <v>85090958357</v>
      </c>
      <c r="AB219" s="18">
        <v>90958357</v>
      </c>
      <c r="AC219" s="18" t="s">
        <v>1593</v>
      </c>
    </row>
    <row r="220" spans="1:29" ht="90" customHeight="1" x14ac:dyDescent="0.3">
      <c r="A220" s="16" t="s">
        <v>42</v>
      </c>
      <c r="B220" s="16" t="s">
        <v>42</v>
      </c>
      <c r="C220" s="16" t="s">
        <v>42</v>
      </c>
      <c r="D220" s="16" t="s">
        <v>42</v>
      </c>
      <c r="E220" s="16" t="s">
        <v>42</v>
      </c>
      <c r="F220" s="16" t="s">
        <v>42</v>
      </c>
      <c r="G220" s="16" t="s">
        <v>42</v>
      </c>
      <c r="H220" s="16" t="s">
        <v>42</v>
      </c>
      <c r="I220" s="16" t="s">
        <v>42</v>
      </c>
      <c r="J220" s="16" t="s">
        <v>42</v>
      </c>
      <c r="K220" s="15" t="s">
        <v>41</v>
      </c>
      <c r="L220" s="17" t="s">
        <v>1594</v>
      </c>
      <c r="M220" s="18" t="s">
        <v>1595</v>
      </c>
      <c r="N220" s="26" t="s">
        <v>1596</v>
      </c>
      <c r="O220" s="18" t="s">
        <v>1597</v>
      </c>
      <c r="P220" s="18" t="s">
        <v>60</v>
      </c>
      <c r="Q220" s="18" t="s">
        <v>1598</v>
      </c>
      <c r="R220" s="18"/>
      <c r="S220" s="18" t="s">
        <v>130</v>
      </c>
      <c r="T220" s="18" t="s">
        <v>63</v>
      </c>
      <c r="U220" s="18" t="str">
        <f>"2010"</f>
        <v>2010</v>
      </c>
      <c r="V220" s="18" t="str">
        <f>"0402058524"</f>
        <v>0402058524</v>
      </c>
      <c r="W220" s="18" t="str">
        <f>"0402058524"</f>
        <v>0402058524</v>
      </c>
      <c r="X220" s="26" t="s">
        <v>1599</v>
      </c>
      <c r="Y220" s="18"/>
      <c r="Z220" s="18" t="s">
        <v>54</v>
      </c>
      <c r="AA220" s="18">
        <v>57605775175</v>
      </c>
      <c r="AB220" s="18">
        <v>605775175</v>
      </c>
      <c r="AC220" s="18" t="s">
        <v>1600</v>
      </c>
    </row>
    <row r="221" spans="1:29" ht="90" customHeight="1" x14ac:dyDescent="0.3">
      <c r="A221" s="16" t="s">
        <v>42</v>
      </c>
      <c r="B221" s="16" t="s">
        <v>42</v>
      </c>
      <c r="C221" s="16" t="s">
        <v>42</v>
      </c>
      <c r="D221" s="16" t="s">
        <v>42</v>
      </c>
      <c r="E221" s="16" t="s">
        <v>42</v>
      </c>
      <c r="F221" s="16" t="s">
        <v>42</v>
      </c>
      <c r="G221" s="16" t="s">
        <v>42</v>
      </c>
      <c r="H221" s="15" t="s">
        <v>41</v>
      </c>
      <c r="I221" s="16" t="s">
        <v>42</v>
      </c>
      <c r="J221" s="16" t="s">
        <v>42</v>
      </c>
      <c r="K221" s="16" t="s">
        <v>42</v>
      </c>
      <c r="L221" s="17" t="s">
        <v>1601</v>
      </c>
      <c r="M221" s="18" t="s">
        <v>1602</v>
      </c>
      <c r="N221" s="26" t="s">
        <v>1603</v>
      </c>
      <c r="O221" s="18" t="s">
        <v>1604</v>
      </c>
      <c r="P221" s="18" t="s">
        <v>528</v>
      </c>
      <c r="Q221" s="18" t="s">
        <v>1605</v>
      </c>
      <c r="R221" s="18"/>
      <c r="S221" s="18" t="s">
        <v>130</v>
      </c>
      <c r="T221" s="18" t="s">
        <v>63</v>
      </c>
      <c r="U221" s="18" t="str">
        <f>"2010"</f>
        <v>2010</v>
      </c>
      <c r="V221" s="18" t="str">
        <f>"02 9360 1122"</f>
        <v>02 9360 1122</v>
      </c>
      <c r="W221" s="18" t="str">
        <f>"0423100057"</f>
        <v>0423100057</v>
      </c>
      <c r="X221" s="26" t="s">
        <v>1606</v>
      </c>
      <c r="Y221" s="18" t="s">
        <v>1607</v>
      </c>
      <c r="Z221" s="18" t="s">
        <v>54</v>
      </c>
      <c r="AA221" s="18">
        <v>31127430719</v>
      </c>
      <c r="AB221" s="18">
        <v>127430719</v>
      </c>
      <c r="AC221" s="18" t="s">
        <v>1608</v>
      </c>
    </row>
    <row r="222" spans="1:29" ht="90" customHeight="1" x14ac:dyDescent="0.3">
      <c r="A222" s="16" t="s">
        <v>42</v>
      </c>
      <c r="B222" s="16" t="s">
        <v>42</v>
      </c>
      <c r="C222" s="16" t="s">
        <v>42</v>
      </c>
      <c r="D222" s="16" t="s">
        <v>42</v>
      </c>
      <c r="E222" s="16" t="s">
        <v>42</v>
      </c>
      <c r="F222" s="16" t="s">
        <v>42</v>
      </c>
      <c r="G222" s="16" t="s">
        <v>42</v>
      </c>
      <c r="H222" s="15" t="s">
        <v>41</v>
      </c>
      <c r="I222" s="16" t="s">
        <v>42</v>
      </c>
      <c r="J222" s="16" t="s">
        <v>42</v>
      </c>
      <c r="K222" s="16" t="s">
        <v>42</v>
      </c>
      <c r="L222" s="17" t="s">
        <v>1609</v>
      </c>
      <c r="M222" s="18" t="s">
        <v>1610</v>
      </c>
      <c r="N222" s="26" t="s">
        <v>1611</v>
      </c>
      <c r="O222" s="18" t="s">
        <v>1612</v>
      </c>
      <c r="P222" s="18" t="s">
        <v>528</v>
      </c>
      <c r="Q222" s="18" t="s">
        <v>1613</v>
      </c>
      <c r="R222" s="18"/>
      <c r="S222" s="18" t="s">
        <v>392</v>
      </c>
      <c r="T222" s="18" t="s">
        <v>63</v>
      </c>
      <c r="U222" s="18" t="str">
        <f>"2065"</f>
        <v>2065</v>
      </c>
      <c r="V222" s="18" t="str">
        <f>"02 8904 1853"</f>
        <v>02 8904 1853</v>
      </c>
      <c r="W222" s="18" t="str">
        <f>"0459486900"</f>
        <v>0459486900</v>
      </c>
      <c r="X222" s="26" t="s">
        <v>1614</v>
      </c>
      <c r="Y222" s="18"/>
      <c r="Z222" s="18" t="s">
        <v>54</v>
      </c>
      <c r="AA222" s="18">
        <v>31621375129</v>
      </c>
      <c r="AB222" s="18"/>
      <c r="AC222" s="18" t="s">
        <v>1584</v>
      </c>
    </row>
    <row r="223" spans="1:29" ht="90" customHeight="1" x14ac:dyDescent="0.3">
      <c r="A223" s="16" t="s">
        <v>42</v>
      </c>
      <c r="B223" s="16" t="s">
        <v>42</v>
      </c>
      <c r="C223" s="16" t="s">
        <v>42</v>
      </c>
      <c r="D223" s="16" t="s">
        <v>42</v>
      </c>
      <c r="E223" s="16" t="s">
        <v>42</v>
      </c>
      <c r="F223" s="16" t="s">
        <v>42</v>
      </c>
      <c r="G223" s="16" t="s">
        <v>42</v>
      </c>
      <c r="H223" s="15" t="s">
        <v>41</v>
      </c>
      <c r="I223" s="15" t="s">
        <v>41</v>
      </c>
      <c r="J223" s="16" t="s">
        <v>42</v>
      </c>
      <c r="K223" s="16" t="s">
        <v>42</v>
      </c>
      <c r="L223" s="17" t="s">
        <v>1615</v>
      </c>
      <c r="M223" s="18" t="s">
        <v>1616</v>
      </c>
      <c r="N223" s="26" t="s">
        <v>1617</v>
      </c>
      <c r="O223" s="18" t="s">
        <v>1618</v>
      </c>
      <c r="P223" s="18" t="s">
        <v>60</v>
      </c>
      <c r="Q223" s="18" t="s">
        <v>498</v>
      </c>
      <c r="R223" s="18" t="s">
        <v>1619</v>
      </c>
      <c r="S223" s="18" t="s">
        <v>130</v>
      </c>
      <c r="T223" s="18" t="s">
        <v>63</v>
      </c>
      <c r="U223" s="18" t="str">
        <f>"2010"</f>
        <v>2010</v>
      </c>
      <c r="V223" s="18" t="str">
        <f>"0293809911"</f>
        <v>0293809911</v>
      </c>
      <c r="W223" s="18" t="str">
        <f>"0418378194"</f>
        <v>0418378194</v>
      </c>
      <c r="X223" s="26" t="s">
        <v>1620</v>
      </c>
      <c r="Y223" s="18" t="s">
        <v>1621</v>
      </c>
      <c r="Z223" s="18" t="s">
        <v>123</v>
      </c>
      <c r="AA223" s="18">
        <v>20310373425</v>
      </c>
      <c r="AB223" s="18">
        <v>81094724</v>
      </c>
      <c r="AC223" s="18" t="s">
        <v>1622</v>
      </c>
    </row>
    <row r="224" spans="1:29" ht="90" customHeight="1" x14ac:dyDescent="0.3">
      <c r="A224" s="16" t="s">
        <v>42</v>
      </c>
      <c r="B224" s="16" t="s">
        <v>42</v>
      </c>
      <c r="C224" s="16" t="s">
        <v>42</v>
      </c>
      <c r="D224" s="16" t="s">
        <v>42</v>
      </c>
      <c r="E224" s="16" t="s">
        <v>42</v>
      </c>
      <c r="F224" s="16" t="s">
        <v>42</v>
      </c>
      <c r="G224" s="16" t="s">
        <v>42</v>
      </c>
      <c r="H224" s="15" t="s">
        <v>41</v>
      </c>
      <c r="I224" s="16" t="s">
        <v>42</v>
      </c>
      <c r="J224" s="16" t="s">
        <v>42</v>
      </c>
      <c r="K224" s="16" t="s">
        <v>42</v>
      </c>
      <c r="L224" s="17" t="s">
        <v>1623</v>
      </c>
      <c r="M224" s="18" t="s">
        <v>1624</v>
      </c>
      <c r="N224" s="26" t="s">
        <v>1625</v>
      </c>
      <c r="O224" s="18" t="s">
        <v>1626</v>
      </c>
      <c r="P224" s="18" t="s">
        <v>60</v>
      </c>
      <c r="Q224" s="18" t="s">
        <v>1627</v>
      </c>
      <c r="R224" s="18"/>
      <c r="S224" s="18" t="s">
        <v>130</v>
      </c>
      <c r="T224" s="18" t="s">
        <v>63</v>
      </c>
      <c r="U224" s="18" t="str">
        <f>"2010"</f>
        <v>2010</v>
      </c>
      <c r="V224" s="18" t="str">
        <f>"02 8332 4333"</f>
        <v>02 8332 4333</v>
      </c>
      <c r="W224" s="18" t="str">
        <f>""</f>
        <v/>
      </c>
      <c r="X224" s="26" t="s">
        <v>1628</v>
      </c>
      <c r="Y224" s="18"/>
      <c r="Z224" s="18" t="s">
        <v>123</v>
      </c>
      <c r="AA224" s="18">
        <v>44088436659</v>
      </c>
      <c r="AB224" s="18"/>
      <c r="AC224" s="18" t="s">
        <v>1629</v>
      </c>
    </row>
    <row r="225" spans="1:29" ht="90" customHeight="1" x14ac:dyDescent="0.3">
      <c r="A225" s="16" t="s">
        <v>42</v>
      </c>
      <c r="B225" s="16" t="s">
        <v>42</v>
      </c>
      <c r="C225" s="16" t="s">
        <v>42</v>
      </c>
      <c r="D225" s="16" t="s">
        <v>42</v>
      </c>
      <c r="E225" s="16" t="s">
        <v>42</v>
      </c>
      <c r="F225" s="16" t="s">
        <v>42</v>
      </c>
      <c r="G225" s="16" t="s">
        <v>42</v>
      </c>
      <c r="H225" s="15" t="s">
        <v>41</v>
      </c>
      <c r="I225" s="15" t="s">
        <v>41</v>
      </c>
      <c r="J225" s="16" t="s">
        <v>42</v>
      </c>
      <c r="K225" s="16" t="s">
        <v>42</v>
      </c>
      <c r="L225" s="17" t="s">
        <v>1630</v>
      </c>
      <c r="M225" s="18" t="s">
        <v>1631</v>
      </c>
      <c r="N225" s="26" t="s">
        <v>1632</v>
      </c>
      <c r="O225" s="18" t="s">
        <v>1633</v>
      </c>
      <c r="P225" s="18" t="s">
        <v>60</v>
      </c>
      <c r="Q225" s="18" t="s">
        <v>1634</v>
      </c>
      <c r="R225" s="18"/>
      <c r="S225" s="18" t="s">
        <v>1635</v>
      </c>
      <c r="T225" s="18" t="s">
        <v>63</v>
      </c>
      <c r="U225" s="18" t="str">
        <f>"2015"</f>
        <v>2015</v>
      </c>
      <c r="V225" s="18" t="str">
        <f>"0295162022"</f>
        <v>0295162022</v>
      </c>
      <c r="W225" s="18" t="str">
        <f>"0403269191"</f>
        <v>0403269191</v>
      </c>
      <c r="X225" s="26" t="s">
        <v>1636</v>
      </c>
      <c r="Y225" s="18"/>
      <c r="Z225" s="18" t="s">
        <v>54</v>
      </c>
      <c r="AA225" s="18">
        <v>96142020693</v>
      </c>
      <c r="AB225" s="18"/>
      <c r="AC225" s="18" t="s">
        <v>1637</v>
      </c>
    </row>
    <row r="226" spans="1:29" ht="90" customHeight="1" x14ac:dyDescent="0.3">
      <c r="A226" s="16" t="s">
        <v>42</v>
      </c>
      <c r="B226" s="16" t="s">
        <v>42</v>
      </c>
      <c r="C226" s="16" t="s">
        <v>42</v>
      </c>
      <c r="D226" s="16" t="s">
        <v>42</v>
      </c>
      <c r="E226" s="16" t="s">
        <v>42</v>
      </c>
      <c r="F226" s="16" t="s">
        <v>42</v>
      </c>
      <c r="G226" s="16" t="s">
        <v>42</v>
      </c>
      <c r="H226" s="16" t="s">
        <v>42</v>
      </c>
      <c r="I226" s="15" t="s">
        <v>41</v>
      </c>
      <c r="J226" s="15" t="s">
        <v>41</v>
      </c>
      <c r="K226" s="16" t="s">
        <v>42</v>
      </c>
      <c r="L226" s="17" t="s">
        <v>1638</v>
      </c>
      <c r="M226" s="18" t="s">
        <v>1639</v>
      </c>
      <c r="N226" s="26" t="s">
        <v>1640</v>
      </c>
      <c r="O226" s="18" t="s">
        <v>1641</v>
      </c>
      <c r="P226" s="18" t="s">
        <v>1642</v>
      </c>
      <c r="Q226" s="18" t="s">
        <v>1643</v>
      </c>
      <c r="R226" s="18" t="s">
        <v>1216</v>
      </c>
      <c r="S226" s="18" t="s">
        <v>1644</v>
      </c>
      <c r="T226" s="18" t="s">
        <v>1645</v>
      </c>
      <c r="U226" s="18" t="str">
        <f>"2612"</f>
        <v>2612</v>
      </c>
      <c r="V226" s="18" t="str">
        <f>"0262626363"</f>
        <v>0262626363</v>
      </c>
      <c r="W226" s="18" t="str">
        <f>"0402313115"</f>
        <v>0402313115</v>
      </c>
      <c r="X226" s="26" t="s">
        <v>1646</v>
      </c>
      <c r="Y226" s="18" t="s">
        <v>1647</v>
      </c>
      <c r="Z226" s="18" t="s">
        <v>54</v>
      </c>
      <c r="AA226" s="18">
        <v>15167074062</v>
      </c>
      <c r="AB226" s="18">
        <v>167074062</v>
      </c>
      <c r="AC226" s="18" t="s">
        <v>1648</v>
      </c>
    </row>
    <row r="227" spans="1:29" ht="90" customHeight="1" x14ac:dyDescent="0.3">
      <c r="A227" s="15" t="s">
        <v>41</v>
      </c>
      <c r="B227" s="15" t="s">
        <v>41</v>
      </c>
      <c r="C227" s="15" t="s">
        <v>41</v>
      </c>
      <c r="D227" s="16" t="s">
        <v>42</v>
      </c>
      <c r="E227" s="16" t="s">
        <v>42</v>
      </c>
      <c r="F227" s="16" t="s">
        <v>42</v>
      </c>
      <c r="G227" s="16" t="s">
        <v>42</v>
      </c>
      <c r="H227" s="16" t="s">
        <v>42</v>
      </c>
      <c r="I227" s="16" t="s">
        <v>42</v>
      </c>
      <c r="J227" s="16" t="s">
        <v>42</v>
      </c>
      <c r="K227" s="16" t="s">
        <v>42</v>
      </c>
      <c r="L227" s="22" t="s">
        <v>1649</v>
      </c>
      <c r="M227" s="18" t="s">
        <v>1650</v>
      </c>
      <c r="N227" s="26" t="s">
        <v>1651</v>
      </c>
      <c r="O227" s="18" t="s">
        <v>1652</v>
      </c>
      <c r="P227" s="18" t="s">
        <v>60</v>
      </c>
      <c r="Q227" s="18" t="s">
        <v>1653</v>
      </c>
      <c r="R227" s="18" t="s">
        <v>1654</v>
      </c>
      <c r="S227" s="18" t="s">
        <v>83</v>
      </c>
      <c r="T227" s="18" t="s">
        <v>63</v>
      </c>
      <c r="U227" s="18">
        <v>2000</v>
      </c>
      <c r="V227" s="18" t="s">
        <v>1655</v>
      </c>
      <c r="W227" s="18" t="s">
        <v>1655</v>
      </c>
      <c r="X227" s="26" t="s">
        <v>1656</v>
      </c>
      <c r="Y227" s="18" t="s">
        <v>1657</v>
      </c>
      <c r="Z227" s="18" t="s">
        <v>54</v>
      </c>
      <c r="AA227" s="18">
        <v>81636742393</v>
      </c>
      <c r="AB227" s="18">
        <v>636742393</v>
      </c>
      <c r="AC227" s="18" t="s">
        <v>1658</v>
      </c>
    </row>
    <row r="228" spans="1:29" ht="90" customHeight="1" x14ac:dyDescent="0.3">
      <c r="A228" s="15" t="s">
        <v>41</v>
      </c>
      <c r="B228" s="16" t="s">
        <v>42</v>
      </c>
      <c r="C228" s="15" t="s">
        <v>41</v>
      </c>
      <c r="D228" s="15" t="s">
        <v>41</v>
      </c>
      <c r="E228" s="16" t="s">
        <v>42</v>
      </c>
      <c r="F228" s="16" t="s">
        <v>42</v>
      </c>
      <c r="G228" s="16" t="s">
        <v>42</v>
      </c>
      <c r="H228" s="16" t="s">
        <v>42</v>
      </c>
      <c r="I228" s="16" t="s">
        <v>42</v>
      </c>
      <c r="J228" s="16" t="s">
        <v>42</v>
      </c>
      <c r="K228" s="16" t="s">
        <v>42</v>
      </c>
      <c r="L228" s="17" t="s">
        <v>1659</v>
      </c>
      <c r="M228" s="18" t="s">
        <v>1660</v>
      </c>
      <c r="N228" s="26" t="s">
        <v>1661</v>
      </c>
      <c r="O228" s="18" t="s">
        <v>1662</v>
      </c>
      <c r="P228" s="18" t="s">
        <v>60</v>
      </c>
      <c r="Q228" s="18" t="s">
        <v>498</v>
      </c>
      <c r="R228" s="18" t="s">
        <v>1663</v>
      </c>
      <c r="S228" s="18" t="s">
        <v>201</v>
      </c>
      <c r="T228" s="18" t="s">
        <v>63</v>
      </c>
      <c r="U228" s="18" t="str">
        <f>"2008"</f>
        <v>2008</v>
      </c>
      <c r="V228" s="18" t="str">
        <f>"0290020462"</f>
        <v>0290020462</v>
      </c>
      <c r="W228" s="18" t="str">
        <f>"0421582725"</f>
        <v>0421582725</v>
      </c>
      <c r="X228" s="26" t="s">
        <v>1664</v>
      </c>
      <c r="Y228" s="18"/>
      <c r="Z228" s="18" t="s">
        <v>54</v>
      </c>
      <c r="AA228" s="18">
        <v>36003463401</v>
      </c>
      <c r="AB228" s="18"/>
      <c r="AC228" s="18" t="s">
        <v>1584</v>
      </c>
    </row>
    <row r="229" spans="1:29" ht="90" customHeight="1" x14ac:dyDescent="0.3">
      <c r="A229" s="16" t="s">
        <v>42</v>
      </c>
      <c r="B229" s="16" t="s">
        <v>42</v>
      </c>
      <c r="C229" s="16" t="s">
        <v>42</v>
      </c>
      <c r="D229" s="16" t="s">
        <v>42</v>
      </c>
      <c r="E229" s="16" t="s">
        <v>42</v>
      </c>
      <c r="F229" s="16" t="s">
        <v>42</v>
      </c>
      <c r="G229" s="16" t="s">
        <v>42</v>
      </c>
      <c r="H229" s="16" t="s">
        <v>42</v>
      </c>
      <c r="I229" s="15" t="s">
        <v>41</v>
      </c>
      <c r="J229" s="15" t="s">
        <v>41</v>
      </c>
      <c r="K229" s="15" t="s">
        <v>41</v>
      </c>
      <c r="L229" s="17" t="s">
        <v>1665</v>
      </c>
      <c r="M229" s="18" t="s">
        <v>1666</v>
      </c>
      <c r="N229" s="26" t="s">
        <v>1667</v>
      </c>
      <c r="O229" s="18" t="s">
        <v>1668</v>
      </c>
      <c r="P229" s="18" t="s">
        <v>189</v>
      </c>
      <c r="Q229" s="18" t="s">
        <v>1669</v>
      </c>
      <c r="R229" s="18" t="s">
        <v>729</v>
      </c>
      <c r="S229" s="18" t="s">
        <v>130</v>
      </c>
      <c r="T229" s="18" t="s">
        <v>63</v>
      </c>
      <c r="U229" s="18" t="str">
        <f>"2010"</f>
        <v>2010</v>
      </c>
      <c r="V229" s="18" t="str">
        <f>"02 8197 3323"</f>
        <v>02 8197 3323</v>
      </c>
      <c r="W229" s="18" t="str">
        <f>"0425294822"</f>
        <v>0425294822</v>
      </c>
      <c r="X229" s="26" t="s">
        <v>1670</v>
      </c>
      <c r="Y229" s="18" t="s">
        <v>1671</v>
      </c>
      <c r="Z229" s="18" t="s">
        <v>54</v>
      </c>
      <c r="AA229" s="18">
        <v>86607713619</v>
      </c>
      <c r="AB229" s="18">
        <v>607713619</v>
      </c>
      <c r="AC229" s="18" t="s">
        <v>1584</v>
      </c>
    </row>
    <row r="230" spans="1:29" ht="90" customHeight="1" x14ac:dyDescent="0.3">
      <c r="A230" s="16" t="s">
        <v>42</v>
      </c>
      <c r="B230" s="16" t="s">
        <v>42</v>
      </c>
      <c r="C230" s="16" t="s">
        <v>42</v>
      </c>
      <c r="D230" s="16" t="s">
        <v>42</v>
      </c>
      <c r="E230" s="16" t="s">
        <v>42</v>
      </c>
      <c r="F230" s="16" t="s">
        <v>42</v>
      </c>
      <c r="G230" s="16" t="s">
        <v>42</v>
      </c>
      <c r="H230" s="15" t="s">
        <v>41</v>
      </c>
      <c r="I230" s="16" t="s">
        <v>42</v>
      </c>
      <c r="J230" s="16" t="s">
        <v>42</v>
      </c>
      <c r="K230" s="16" t="s">
        <v>42</v>
      </c>
      <c r="L230" s="17" t="s">
        <v>1672</v>
      </c>
      <c r="M230" s="18" t="s">
        <v>1673</v>
      </c>
      <c r="N230" s="26" t="s">
        <v>1674</v>
      </c>
      <c r="O230" s="18" t="s">
        <v>1675</v>
      </c>
      <c r="P230" s="18" t="s">
        <v>60</v>
      </c>
      <c r="Q230" s="18" t="s">
        <v>1676</v>
      </c>
      <c r="R230" s="18"/>
      <c r="S230" s="18" t="s">
        <v>130</v>
      </c>
      <c r="T230" s="18" t="s">
        <v>63</v>
      </c>
      <c r="U230" s="18" t="str">
        <f>"2010"</f>
        <v>2010</v>
      </c>
      <c r="V230" s="18" t="str">
        <f>"02 9167 7916"</f>
        <v>02 9167 7916</v>
      </c>
      <c r="W230" s="18" t="str">
        <f>"0414 868 616"</f>
        <v>0414 868 616</v>
      </c>
      <c r="X230" s="26" t="s">
        <v>1677</v>
      </c>
      <c r="Y230" s="18"/>
      <c r="Z230" s="18" t="s">
        <v>54</v>
      </c>
      <c r="AA230" s="18">
        <v>37003681301</v>
      </c>
      <c r="AB230" s="18"/>
      <c r="AC230" s="18" t="s">
        <v>1678</v>
      </c>
    </row>
    <row r="231" spans="1:29" ht="90" customHeight="1" x14ac:dyDescent="0.3">
      <c r="A231" s="16" t="s">
        <v>42</v>
      </c>
      <c r="B231" s="16" t="s">
        <v>42</v>
      </c>
      <c r="C231" s="16" t="s">
        <v>42</v>
      </c>
      <c r="D231" s="16" t="s">
        <v>42</v>
      </c>
      <c r="E231" s="16" t="s">
        <v>42</v>
      </c>
      <c r="F231" s="16" t="s">
        <v>42</v>
      </c>
      <c r="G231" s="16" t="s">
        <v>42</v>
      </c>
      <c r="H231" s="15" t="s">
        <v>41</v>
      </c>
      <c r="I231" s="16" t="s">
        <v>42</v>
      </c>
      <c r="J231" s="16" t="s">
        <v>42</v>
      </c>
      <c r="K231" s="16" t="s">
        <v>42</v>
      </c>
      <c r="L231" s="17" t="s">
        <v>1679</v>
      </c>
      <c r="M231" s="18" t="s">
        <v>1680</v>
      </c>
      <c r="N231" s="26" t="s">
        <v>1681</v>
      </c>
      <c r="O231" s="18" t="s">
        <v>1682</v>
      </c>
      <c r="P231" s="18" t="s">
        <v>60</v>
      </c>
      <c r="Q231" s="18" t="s">
        <v>1683</v>
      </c>
      <c r="R231" s="18"/>
      <c r="S231" s="18" t="s">
        <v>83</v>
      </c>
      <c r="T231" s="18" t="s">
        <v>63</v>
      </c>
      <c r="U231" s="18" t="str">
        <f>"2000"</f>
        <v>2000</v>
      </c>
      <c r="V231" s="18" t="str">
        <f>"0293582588"</f>
        <v>0293582588</v>
      </c>
      <c r="W231" s="18" t="str">
        <f>"0413 187 871"</f>
        <v>0413 187 871</v>
      </c>
      <c r="X231" s="26" t="s">
        <v>1684</v>
      </c>
      <c r="Y231" s="18"/>
      <c r="Z231" s="18" t="s">
        <v>123</v>
      </c>
      <c r="AA231" s="18">
        <v>11002633481</v>
      </c>
      <c r="AB231" s="18">
        <v>2633481</v>
      </c>
      <c r="AC231" s="18" t="s">
        <v>1154</v>
      </c>
    </row>
    <row r="232" spans="1:29" ht="90" customHeight="1" x14ac:dyDescent="0.3">
      <c r="A232" s="16" t="s">
        <v>42</v>
      </c>
      <c r="B232" s="16" t="s">
        <v>42</v>
      </c>
      <c r="C232" s="16" t="s">
        <v>42</v>
      </c>
      <c r="D232" s="16" t="s">
        <v>42</v>
      </c>
      <c r="E232" s="16" t="s">
        <v>42</v>
      </c>
      <c r="F232" s="16" t="s">
        <v>42</v>
      </c>
      <c r="G232" s="16" t="s">
        <v>42</v>
      </c>
      <c r="H232" s="15" t="s">
        <v>41</v>
      </c>
      <c r="I232" s="16" t="s">
        <v>42</v>
      </c>
      <c r="J232" s="16" t="s">
        <v>42</v>
      </c>
      <c r="K232" s="16" t="s">
        <v>42</v>
      </c>
      <c r="L232" s="17" t="s">
        <v>1685</v>
      </c>
      <c r="M232" s="18" t="s">
        <v>1686</v>
      </c>
      <c r="N232" s="26" t="s">
        <v>1687</v>
      </c>
      <c r="O232" s="18" t="s">
        <v>1688</v>
      </c>
      <c r="P232" s="18" t="s">
        <v>60</v>
      </c>
      <c r="Q232" s="18" t="s">
        <v>1689</v>
      </c>
      <c r="R232" s="18"/>
      <c r="S232" s="18" t="s">
        <v>641</v>
      </c>
      <c r="T232" s="18" t="s">
        <v>63</v>
      </c>
      <c r="U232" s="18" t="str">
        <f>"2040"</f>
        <v>2040</v>
      </c>
      <c r="V232" s="18" t="str">
        <f>"02 9555 1549"</f>
        <v>02 9555 1549</v>
      </c>
      <c r="W232" s="18" t="str">
        <f>"0413042705"</f>
        <v>0413042705</v>
      </c>
      <c r="X232" s="26" t="s">
        <v>1690</v>
      </c>
      <c r="Y232" s="18" t="s">
        <v>1686</v>
      </c>
      <c r="Z232" s="18" t="s">
        <v>54</v>
      </c>
      <c r="AA232" s="18">
        <v>17113491302</v>
      </c>
      <c r="AB232" s="18"/>
      <c r="AC232" s="18" t="s">
        <v>93</v>
      </c>
    </row>
    <row r="233" spans="1:29" ht="90" customHeight="1" x14ac:dyDescent="0.3">
      <c r="A233" s="16" t="s">
        <v>42</v>
      </c>
      <c r="B233" s="16" t="s">
        <v>42</v>
      </c>
      <c r="C233" s="16" t="s">
        <v>42</v>
      </c>
      <c r="D233" s="16" t="s">
        <v>42</v>
      </c>
      <c r="E233" s="16" t="s">
        <v>42</v>
      </c>
      <c r="F233" s="16" t="s">
        <v>42</v>
      </c>
      <c r="G233" s="16" t="s">
        <v>42</v>
      </c>
      <c r="H233" s="15" t="s">
        <v>41</v>
      </c>
      <c r="I233" s="15" t="s">
        <v>41</v>
      </c>
      <c r="J233" s="16" t="s">
        <v>42</v>
      </c>
      <c r="K233" s="16" t="s">
        <v>42</v>
      </c>
      <c r="L233" s="17" t="s">
        <v>1691</v>
      </c>
      <c r="M233" s="18" t="s">
        <v>1692</v>
      </c>
      <c r="N233" s="26" t="s">
        <v>1693</v>
      </c>
      <c r="O233" s="18" t="s">
        <v>1694</v>
      </c>
      <c r="P233" s="18" t="s">
        <v>60</v>
      </c>
      <c r="Q233" s="18" t="s">
        <v>1695</v>
      </c>
      <c r="R233" s="18"/>
      <c r="S233" s="18" t="s">
        <v>99</v>
      </c>
      <c r="T233" s="18" t="s">
        <v>63</v>
      </c>
      <c r="U233" s="18" t="str">
        <f>"2009"</f>
        <v>2009</v>
      </c>
      <c r="V233" s="18" t="str">
        <f>"0401802696"</f>
        <v>0401802696</v>
      </c>
      <c r="W233" s="18" t="str">
        <f>"0401802696"</f>
        <v>0401802696</v>
      </c>
      <c r="X233" s="26" t="s">
        <v>1696</v>
      </c>
      <c r="Y233" s="18"/>
      <c r="Z233" s="18" t="s">
        <v>123</v>
      </c>
      <c r="AA233" s="18">
        <v>89167765826</v>
      </c>
      <c r="AB233" s="18">
        <v>167765826</v>
      </c>
      <c r="AC233" s="18" t="s">
        <v>124</v>
      </c>
    </row>
    <row r="234" spans="1:29" ht="90" customHeight="1" x14ac:dyDescent="0.3">
      <c r="A234" s="16" t="s">
        <v>42</v>
      </c>
      <c r="B234" s="16" t="s">
        <v>42</v>
      </c>
      <c r="C234" s="16" t="s">
        <v>42</v>
      </c>
      <c r="D234" s="16" t="s">
        <v>42</v>
      </c>
      <c r="E234" s="16" t="s">
        <v>42</v>
      </c>
      <c r="F234" s="16" t="s">
        <v>42</v>
      </c>
      <c r="G234" s="16" t="s">
        <v>42</v>
      </c>
      <c r="H234" s="16" t="s">
        <v>42</v>
      </c>
      <c r="I234" s="16" t="s">
        <v>42</v>
      </c>
      <c r="J234" s="15" t="s">
        <v>41</v>
      </c>
      <c r="K234" s="16" t="s">
        <v>42</v>
      </c>
      <c r="L234" s="17" t="s">
        <v>1697</v>
      </c>
      <c r="M234" s="18" t="s">
        <v>1698</v>
      </c>
      <c r="N234" s="18"/>
      <c r="O234" s="18" t="s">
        <v>1699</v>
      </c>
      <c r="P234" s="18" t="s">
        <v>1700</v>
      </c>
      <c r="Q234" s="18" t="s">
        <v>498</v>
      </c>
      <c r="R234" s="18" t="s">
        <v>1701</v>
      </c>
      <c r="S234" s="18" t="s">
        <v>73</v>
      </c>
      <c r="T234" s="18" t="s">
        <v>63</v>
      </c>
      <c r="U234" s="18" t="str">
        <f>"2095"</f>
        <v>2095</v>
      </c>
      <c r="V234" s="18" t="str">
        <f>"+61400112632"</f>
        <v>+61400112632</v>
      </c>
      <c r="W234" s="18" t="str">
        <f>"+61400112632"</f>
        <v>+61400112632</v>
      </c>
      <c r="X234" s="26" t="s">
        <v>1702</v>
      </c>
      <c r="Y234" s="18" t="s">
        <v>1703</v>
      </c>
      <c r="Z234" s="18" t="s">
        <v>54</v>
      </c>
      <c r="AA234" s="18">
        <v>16137160313</v>
      </c>
      <c r="AB234" s="18">
        <v>137160313</v>
      </c>
      <c r="AC234" s="18" t="s">
        <v>263</v>
      </c>
    </row>
    <row r="235" spans="1:29" ht="90" customHeight="1" x14ac:dyDescent="0.3">
      <c r="A235" s="15" t="s">
        <v>41</v>
      </c>
      <c r="B235" s="15" t="s">
        <v>41</v>
      </c>
      <c r="C235" s="16" t="s">
        <v>42</v>
      </c>
      <c r="D235" s="16" t="s">
        <v>42</v>
      </c>
      <c r="E235" s="15" t="s">
        <v>41</v>
      </c>
      <c r="F235" s="16" t="s">
        <v>42</v>
      </c>
      <c r="G235" s="16" t="s">
        <v>42</v>
      </c>
      <c r="H235" s="16" t="s">
        <v>42</v>
      </c>
      <c r="I235" s="16" t="s">
        <v>42</v>
      </c>
      <c r="J235" s="16" t="s">
        <v>42</v>
      </c>
      <c r="K235" s="16" t="s">
        <v>42</v>
      </c>
      <c r="L235" s="17" t="s">
        <v>1704</v>
      </c>
      <c r="M235" s="18" t="s">
        <v>1705</v>
      </c>
      <c r="N235" s="26" t="s">
        <v>1706</v>
      </c>
      <c r="O235" s="18" t="s">
        <v>1707</v>
      </c>
      <c r="P235" s="18" t="s">
        <v>189</v>
      </c>
      <c r="Q235" s="18" t="s">
        <v>1708</v>
      </c>
      <c r="R235" s="18" t="s">
        <v>1709</v>
      </c>
      <c r="S235" s="18" t="s">
        <v>107</v>
      </c>
      <c r="T235" s="18" t="s">
        <v>63</v>
      </c>
      <c r="U235" s="18" t="str">
        <f>"2011"</f>
        <v>2011</v>
      </c>
      <c r="V235" s="18" t="str">
        <f>"02 9331 6222"</f>
        <v>02 9331 6222</v>
      </c>
      <c r="W235" s="18" t="str">
        <f>"+61 478945883"</f>
        <v>+61 478945883</v>
      </c>
      <c r="X235" s="26" t="s">
        <v>1710</v>
      </c>
      <c r="Y235" s="18"/>
      <c r="Z235" s="18" t="s">
        <v>54</v>
      </c>
      <c r="AA235" s="18">
        <v>84207509965</v>
      </c>
      <c r="AB235" s="18"/>
      <c r="AC235" s="18" t="s">
        <v>459</v>
      </c>
    </row>
    <row r="236" spans="1:29" ht="90" customHeight="1" x14ac:dyDescent="0.3">
      <c r="A236" s="16" t="s">
        <v>42</v>
      </c>
      <c r="B236" s="16" t="s">
        <v>42</v>
      </c>
      <c r="C236" s="16" t="s">
        <v>42</v>
      </c>
      <c r="D236" s="16" t="s">
        <v>42</v>
      </c>
      <c r="E236" s="16" t="s">
        <v>42</v>
      </c>
      <c r="F236" s="16" t="s">
        <v>42</v>
      </c>
      <c r="G236" s="16" t="s">
        <v>42</v>
      </c>
      <c r="H236" s="15" t="s">
        <v>41</v>
      </c>
      <c r="I236" s="16" t="s">
        <v>42</v>
      </c>
      <c r="J236" s="16" t="s">
        <v>42</v>
      </c>
      <c r="K236" s="15" t="s">
        <v>41</v>
      </c>
      <c r="L236" s="17" t="s">
        <v>1711</v>
      </c>
      <c r="M236" s="18" t="s">
        <v>1712</v>
      </c>
      <c r="N236" s="26" t="s">
        <v>1713</v>
      </c>
      <c r="O236" s="18" t="s">
        <v>1714</v>
      </c>
      <c r="P236" s="18" t="s">
        <v>1715</v>
      </c>
      <c r="Q236" s="18" t="s">
        <v>1716</v>
      </c>
      <c r="R236" s="18" t="s">
        <v>1717</v>
      </c>
      <c r="S236" s="18" t="s">
        <v>1718</v>
      </c>
      <c r="T236" s="18" t="s">
        <v>63</v>
      </c>
      <c r="U236" s="18" t="str">
        <f>"2068"</f>
        <v>2068</v>
      </c>
      <c r="V236" s="18" t="str">
        <f>"0299587950"</f>
        <v>0299587950</v>
      </c>
      <c r="W236" s="18" t="str">
        <f>"0425264283"</f>
        <v>0425264283</v>
      </c>
      <c r="X236" s="26" t="s">
        <v>1719</v>
      </c>
      <c r="Y236" s="18" t="s">
        <v>1720</v>
      </c>
      <c r="Z236" s="18" t="s">
        <v>54</v>
      </c>
      <c r="AA236" s="18">
        <v>22154347869</v>
      </c>
      <c r="AB236" s="18">
        <v>154347869</v>
      </c>
      <c r="AC236" s="18" t="s">
        <v>1721</v>
      </c>
    </row>
    <row r="237" spans="1:29" ht="90" customHeight="1" x14ac:dyDescent="0.3">
      <c r="A237" s="16" t="s">
        <v>42</v>
      </c>
      <c r="B237" s="16" t="s">
        <v>42</v>
      </c>
      <c r="C237" s="16" t="s">
        <v>42</v>
      </c>
      <c r="D237" s="16" t="s">
        <v>42</v>
      </c>
      <c r="E237" s="16" t="s">
        <v>42</v>
      </c>
      <c r="F237" s="16" t="s">
        <v>42</v>
      </c>
      <c r="G237" s="16" t="s">
        <v>42</v>
      </c>
      <c r="H237" s="16" t="s">
        <v>42</v>
      </c>
      <c r="I237" s="15" t="s">
        <v>41</v>
      </c>
      <c r="J237" s="16" t="s">
        <v>42</v>
      </c>
      <c r="K237" s="16" t="s">
        <v>42</v>
      </c>
      <c r="L237" s="22" t="s">
        <v>1722</v>
      </c>
      <c r="M237" s="18" t="s">
        <v>1723</v>
      </c>
      <c r="N237" s="26" t="s">
        <v>1724</v>
      </c>
      <c r="O237" s="18" t="s">
        <v>1725</v>
      </c>
      <c r="P237" s="18"/>
      <c r="Q237" s="18" t="s">
        <v>1726</v>
      </c>
      <c r="R237" s="18"/>
      <c r="S237" s="18" t="s">
        <v>130</v>
      </c>
      <c r="T237" s="18" t="s">
        <v>63</v>
      </c>
      <c r="U237" s="18">
        <v>2010</v>
      </c>
      <c r="V237" s="18" t="s">
        <v>1727</v>
      </c>
      <c r="W237" s="18" t="s">
        <v>1728</v>
      </c>
      <c r="X237" s="26" t="s">
        <v>1729</v>
      </c>
      <c r="Y237" s="18" t="s">
        <v>1722</v>
      </c>
      <c r="Z237" s="18" t="s">
        <v>54</v>
      </c>
      <c r="AA237" s="18">
        <v>25158401426</v>
      </c>
      <c r="AB237" s="18">
        <v>158401426</v>
      </c>
      <c r="AC237" s="18" t="s">
        <v>1730</v>
      </c>
    </row>
    <row r="238" spans="1:29" ht="90" customHeight="1" x14ac:dyDescent="0.3">
      <c r="A238" s="16" t="s">
        <v>42</v>
      </c>
      <c r="B238" s="16" t="s">
        <v>42</v>
      </c>
      <c r="C238" s="16" t="s">
        <v>42</v>
      </c>
      <c r="D238" s="16" t="s">
        <v>42</v>
      </c>
      <c r="E238" s="16" t="s">
        <v>42</v>
      </c>
      <c r="F238" s="16" t="s">
        <v>42</v>
      </c>
      <c r="G238" s="16" t="s">
        <v>42</v>
      </c>
      <c r="H238" s="16" t="s">
        <v>42</v>
      </c>
      <c r="I238" s="15" t="s">
        <v>41</v>
      </c>
      <c r="J238" s="16" t="s">
        <v>42</v>
      </c>
      <c r="K238" s="15" t="s">
        <v>41</v>
      </c>
      <c r="L238" s="17" t="s">
        <v>1731</v>
      </c>
      <c r="M238" s="18" t="s">
        <v>1732</v>
      </c>
      <c r="N238" s="26" t="s">
        <v>1733</v>
      </c>
      <c r="O238" s="18" t="s">
        <v>1734</v>
      </c>
      <c r="P238" s="18" t="s">
        <v>1735</v>
      </c>
      <c r="Q238" s="18" t="s">
        <v>1736</v>
      </c>
      <c r="R238" s="18"/>
      <c r="S238" s="18" t="s">
        <v>121</v>
      </c>
      <c r="T238" s="18" t="s">
        <v>63</v>
      </c>
      <c r="U238" s="18" t="str">
        <f>"2008"</f>
        <v>2008</v>
      </c>
      <c r="V238" s="18" t="str">
        <f>"02 9310 1800"</f>
        <v>02 9310 1800</v>
      </c>
      <c r="W238" s="18" t="str">
        <f>"0430 070 823"</f>
        <v>0430 070 823</v>
      </c>
      <c r="X238" s="26" t="s">
        <v>1737</v>
      </c>
      <c r="Y238" s="18" t="s">
        <v>1738</v>
      </c>
      <c r="Z238" s="18" t="s">
        <v>54</v>
      </c>
      <c r="AA238" s="18">
        <v>84164743613</v>
      </c>
      <c r="AB238" s="18"/>
      <c r="AC238" s="18" t="s">
        <v>1629</v>
      </c>
    </row>
    <row r="239" spans="1:29" ht="90" customHeight="1" x14ac:dyDescent="0.3">
      <c r="A239" s="16" t="s">
        <v>42</v>
      </c>
      <c r="B239" s="16" t="s">
        <v>42</v>
      </c>
      <c r="C239" s="16" t="s">
        <v>42</v>
      </c>
      <c r="D239" s="16" t="s">
        <v>42</v>
      </c>
      <c r="E239" s="16" t="s">
        <v>42</v>
      </c>
      <c r="F239" s="16" t="s">
        <v>42</v>
      </c>
      <c r="G239" s="16" t="s">
        <v>42</v>
      </c>
      <c r="H239" s="15" t="s">
        <v>41</v>
      </c>
      <c r="I239" s="15" t="s">
        <v>41</v>
      </c>
      <c r="J239" s="16" t="s">
        <v>42</v>
      </c>
      <c r="K239" s="15" t="s">
        <v>41</v>
      </c>
      <c r="L239" s="17" t="s">
        <v>1739</v>
      </c>
      <c r="M239" s="18" t="s">
        <v>1740</v>
      </c>
      <c r="N239" s="26" t="s">
        <v>1741</v>
      </c>
      <c r="O239" s="18" t="s">
        <v>1742</v>
      </c>
      <c r="P239" s="18" t="s">
        <v>60</v>
      </c>
      <c r="Q239" s="18" t="s">
        <v>1743</v>
      </c>
      <c r="R239" s="18"/>
      <c r="S239" s="18" t="s">
        <v>1635</v>
      </c>
      <c r="T239" s="18" t="s">
        <v>63</v>
      </c>
      <c r="U239" s="18" t="str">
        <f>"2015"</f>
        <v>2015</v>
      </c>
      <c r="V239" s="18" t="str">
        <f>"93107882"</f>
        <v>93107882</v>
      </c>
      <c r="W239" s="18" t="str">
        <f>"0404290993"</f>
        <v>0404290993</v>
      </c>
      <c r="X239" s="26" t="s">
        <v>1744</v>
      </c>
      <c r="Y239" s="18"/>
      <c r="Z239" s="18" t="s">
        <v>54</v>
      </c>
      <c r="AA239" s="18">
        <v>80142191553</v>
      </c>
      <c r="AB239" s="18">
        <v>142191553</v>
      </c>
      <c r="AC239" s="18" t="s">
        <v>1745</v>
      </c>
    </row>
    <row r="240" spans="1:29" ht="90" customHeight="1" x14ac:dyDescent="0.3">
      <c r="A240" s="16" t="s">
        <v>42</v>
      </c>
      <c r="B240" s="16" t="s">
        <v>42</v>
      </c>
      <c r="C240" s="16" t="s">
        <v>42</v>
      </c>
      <c r="D240" s="16" t="s">
        <v>42</v>
      </c>
      <c r="E240" s="16" t="s">
        <v>42</v>
      </c>
      <c r="F240" s="16" t="s">
        <v>42</v>
      </c>
      <c r="G240" s="16" t="s">
        <v>42</v>
      </c>
      <c r="H240" s="15" t="s">
        <v>41</v>
      </c>
      <c r="I240" s="16" t="s">
        <v>42</v>
      </c>
      <c r="J240" s="16" t="s">
        <v>42</v>
      </c>
      <c r="K240" s="16" t="s">
        <v>42</v>
      </c>
      <c r="L240" s="22" t="s">
        <v>1746</v>
      </c>
      <c r="M240" s="18" t="s">
        <v>1747</v>
      </c>
      <c r="N240" s="26" t="s">
        <v>1748</v>
      </c>
      <c r="O240" s="18" t="s">
        <v>1749</v>
      </c>
      <c r="P240" s="18" t="s">
        <v>60</v>
      </c>
      <c r="Q240" s="18" t="s">
        <v>1750</v>
      </c>
      <c r="R240" s="18"/>
      <c r="S240" s="18" t="s">
        <v>1751</v>
      </c>
      <c r="T240" s="18" t="s">
        <v>63</v>
      </c>
      <c r="U240" s="18">
        <v>2515</v>
      </c>
      <c r="V240" s="18" t="s">
        <v>1752</v>
      </c>
      <c r="W240" s="18" t="s">
        <v>1752</v>
      </c>
      <c r="X240" s="26" t="s">
        <v>1753</v>
      </c>
      <c r="Y240" s="18" t="s">
        <v>1747</v>
      </c>
      <c r="Z240" s="18" t="s">
        <v>54</v>
      </c>
      <c r="AA240" s="18">
        <v>52095165727</v>
      </c>
      <c r="AB240" s="18">
        <v>9516572</v>
      </c>
      <c r="AC240" s="18" t="s">
        <v>1754</v>
      </c>
    </row>
    <row r="241" spans="1:29" ht="90" customHeight="1" x14ac:dyDescent="0.3">
      <c r="A241" s="16" t="s">
        <v>42</v>
      </c>
      <c r="B241" s="16" t="s">
        <v>42</v>
      </c>
      <c r="C241" s="16" t="s">
        <v>42</v>
      </c>
      <c r="D241" s="16" t="s">
        <v>42</v>
      </c>
      <c r="E241" s="16" t="s">
        <v>42</v>
      </c>
      <c r="F241" s="16" t="s">
        <v>42</v>
      </c>
      <c r="G241" s="16" t="s">
        <v>42</v>
      </c>
      <c r="H241" s="15" t="s">
        <v>41</v>
      </c>
      <c r="I241" s="16" t="s">
        <v>42</v>
      </c>
      <c r="J241" s="16" t="s">
        <v>42</v>
      </c>
      <c r="K241" s="16" t="s">
        <v>42</v>
      </c>
      <c r="L241" s="17" t="s">
        <v>1755</v>
      </c>
      <c r="M241" s="18" t="s">
        <v>1756</v>
      </c>
      <c r="N241" s="26" t="s">
        <v>1757</v>
      </c>
      <c r="O241" s="18" t="s">
        <v>1758</v>
      </c>
      <c r="P241" s="18" t="s">
        <v>1759</v>
      </c>
      <c r="Q241" s="18" t="s">
        <v>1760</v>
      </c>
      <c r="R241" s="18"/>
      <c r="S241" s="18" t="s">
        <v>1761</v>
      </c>
      <c r="T241" s="18" t="s">
        <v>63</v>
      </c>
      <c r="U241" s="18" t="str">
        <f>"2340"</f>
        <v>2340</v>
      </c>
      <c r="V241" s="18" t="str">
        <f>"0267668134"</f>
        <v>0267668134</v>
      </c>
      <c r="W241" s="18" t="str">
        <f>"0412357006"</f>
        <v>0412357006</v>
      </c>
      <c r="X241" s="26" t="s">
        <v>1762</v>
      </c>
      <c r="Y241" s="18" t="s">
        <v>1763</v>
      </c>
      <c r="Z241" s="18" t="s">
        <v>54</v>
      </c>
      <c r="AA241" s="18">
        <v>12566261618</v>
      </c>
      <c r="AB241" s="18"/>
      <c r="AC241" s="18" t="s">
        <v>1764</v>
      </c>
    </row>
    <row r="242" spans="1:29" ht="90" customHeight="1" x14ac:dyDescent="0.3">
      <c r="A242" s="16" t="s">
        <v>42</v>
      </c>
      <c r="B242" s="16" t="s">
        <v>42</v>
      </c>
      <c r="C242" s="16" t="s">
        <v>42</v>
      </c>
      <c r="D242" s="16" t="s">
        <v>42</v>
      </c>
      <c r="E242" s="16" t="s">
        <v>42</v>
      </c>
      <c r="F242" s="16" t="s">
        <v>42</v>
      </c>
      <c r="G242" s="16" t="s">
        <v>42</v>
      </c>
      <c r="H242" s="15" t="s">
        <v>41</v>
      </c>
      <c r="I242" s="16" t="s">
        <v>42</v>
      </c>
      <c r="J242" s="16" t="s">
        <v>42</v>
      </c>
      <c r="K242" s="15" t="s">
        <v>41</v>
      </c>
      <c r="L242" s="17" t="s">
        <v>1765</v>
      </c>
      <c r="M242" s="18" t="s">
        <v>1766</v>
      </c>
      <c r="N242" s="26" t="s">
        <v>1767</v>
      </c>
      <c r="O242" s="18" t="s">
        <v>1768</v>
      </c>
      <c r="P242" s="18" t="s">
        <v>60</v>
      </c>
      <c r="Q242" s="18" t="s">
        <v>1769</v>
      </c>
      <c r="R242" s="18"/>
      <c r="S242" s="18" t="s">
        <v>121</v>
      </c>
      <c r="T242" s="18" t="s">
        <v>63</v>
      </c>
      <c r="U242" s="18" t="str">
        <f>"2008"</f>
        <v>2008</v>
      </c>
      <c r="V242" s="18" t="str">
        <f>"02 8283 2730"</f>
        <v>02 8283 2730</v>
      </c>
      <c r="W242" s="18" t="str">
        <f>"0406801311"</f>
        <v>0406801311</v>
      </c>
      <c r="X242" s="26" t="s">
        <v>1770</v>
      </c>
      <c r="Y242" s="18" t="s">
        <v>1771</v>
      </c>
      <c r="Z242" s="18" t="s">
        <v>54</v>
      </c>
      <c r="AA242" s="18">
        <v>88776216460</v>
      </c>
      <c r="AB242" s="18">
        <v>600701639</v>
      </c>
      <c r="AC242" s="18" t="s">
        <v>1772</v>
      </c>
    </row>
    <row r="243" spans="1:29" ht="90" customHeight="1" x14ac:dyDescent="0.3">
      <c r="A243" s="16" t="s">
        <v>42</v>
      </c>
      <c r="B243" s="16" t="s">
        <v>42</v>
      </c>
      <c r="C243" s="16" t="s">
        <v>42</v>
      </c>
      <c r="D243" s="16" t="s">
        <v>42</v>
      </c>
      <c r="E243" s="16" t="s">
        <v>42</v>
      </c>
      <c r="F243" s="16" t="s">
        <v>42</v>
      </c>
      <c r="G243" s="16" t="s">
        <v>42</v>
      </c>
      <c r="H243" s="16" t="s">
        <v>42</v>
      </c>
      <c r="I243" s="16" t="s">
        <v>42</v>
      </c>
      <c r="J243" s="15" t="s">
        <v>41</v>
      </c>
      <c r="K243" s="16" t="s">
        <v>42</v>
      </c>
      <c r="L243" s="17" t="s">
        <v>1773</v>
      </c>
      <c r="M243" s="18" t="s">
        <v>1774</v>
      </c>
      <c r="N243" s="26" t="s">
        <v>1775</v>
      </c>
      <c r="O243" s="18" t="s">
        <v>1776</v>
      </c>
      <c r="P243" s="18" t="s">
        <v>60</v>
      </c>
      <c r="Q243" s="18" t="s">
        <v>1777</v>
      </c>
      <c r="R243" s="18"/>
      <c r="S243" s="18" t="s">
        <v>537</v>
      </c>
      <c r="T243" s="18" t="s">
        <v>63</v>
      </c>
      <c r="U243" s="18" t="str">
        <f>"2007"</f>
        <v>2007</v>
      </c>
      <c r="V243" s="18" t="str">
        <f>"0292113744"</f>
        <v>0292113744</v>
      </c>
      <c r="W243" s="18" t="str">
        <f>"0411146269"</f>
        <v>0411146269</v>
      </c>
      <c r="X243" s="26" t="s">
        <v>1778</v>
      </c>
      <c r="Y243" s="18"/>
      <c r="Z243" s="18" t="s">
        <v>54</v>
      </c>
      <c r="AA243" s="18">
        <v>99164245514</v>
      </c>
      <c r="AB243" s="18">
        <v>164245514</v>
      </c>
      <c r="AC243" s="18" t="s">
        <v>263</v>
      </c>
    </row>
    <row r="244" spans="1:29" ht="90" customHeight="1" x14ac:dyDescent="0.3">
      <c r="A244" s="16" t="s">
        <v>42</v>
      </c>
      <c r="B244" s="16" t="s">
        <v>42</v>
      </c>
      <c r="C244" s="16" t="s">
        <v>42</v>
      </c>
      <c r="D244" s="16" t="s">
        <v>42</v>
      </c>
      <c r="E244" s="16" t="s">
        <v>42</v>
      </c>
      <c r="F244" s="16" t="s">
        <v>42</v>
      </c>
      <c r="G244" s="16" t="s">
        <v>42</v>
      </c>
      <c r="H244" s="16" t="s">
        <v>42</v>
      </c>
      <c r="I244" s="16" t="s">
        <v>42</v>
      </c>
      <c r="J244" s="15" t="s">
        <v>41</v>
      </c>
      <c r="K244" s="16" t="s">
        <v>42</v>
      </c>
      <c r="L244" s="17" t="s">
        <v>1779</v>
      </c>
      <c r="M244" s="18" t="s">
        <v>1780</v>
      </c>
      <c r="N244" s="18"/>
      <c r="O244" s="18" t="s">
        <v>1781</v>
      </c>
      <c r="P244" s="18" t="s">
        <v>60</v>
      </c>
      <c r="Q244" s="18" t="s">
        <v>1782</v>
      </c>
      <c r="R244" s="18"/>
      <c r="S244" s="18" t="s">
        <v>545</v>
      </c>
      <c r="T244" s="18" t="s">
        <v>63</v>
      </c>
      <c r="U244" s="18" t="str">
        <f>"2011"</f>
        <v>2011</v>
      </c>
      <c r="V244" s="18" t="str">
        <f>"+61291210100"</f>
        <v>+61291210100</v>
      </c>
      <c r="W244" s="18" t="str">
        <f>""</f>
        <v/>
      </c>
      <c r="X244" s="26" t="s">
        <v>1783</v>
      </c>
      <c r="Y244" s="18"/>
      <c r="Z244" s="18" t="s">
        <v>54</v>
      </c>
      <c r="AA244" s="18">
        <v>45003858866</v>
      </c>
      <c r="AB244" s="18"/>
      <c r="AC244" s="18" t="s">
        <v>1784</v>
      </c>
    </row>
    <row r="245" spans="1:29" ht="90" customHeight="1" x14ac:dyDescent="0.3">
      <c r="A245" s="16" t="s">
        <v>42</v>
      </c>
      <c r="B245" s="16" t="s">
        <v>42</v>
      </c>
      <c r="C245" s="16" t="s">
        <v>42</v>
      </c>
      <c r="D245" s="16" t="s">
        <v>42</v>
      </c>
      <c r="E245" s="16" t="s">
        <v>42</v>
      </c>
      <c r="F245" s="16" t="s">
        <v>42</v>
      </c>
      <c r="G245" s="16" t="s">
        <v>42</v>
      </c>
      <c r="H245" s="16" t="s">
        <v>42</v>
      </c>
      <c r="I245" s="16" t="s">
        <v>42</v>
      </c>
      <c r="J245" s="16" t="s">
        <v>42</v>
      </c>
      <c r="K245" s="15" t="s">
        <v>41</v>
      </c>
      <c r="L245" s="22" t="s">
        <v>1785</v>
      </c>
      <c r="M245" s="18" t="s">
        <v>1785</v>
      </c>
      <c r="N245" s="26" t="s">
        <v>1786</v>
      </c>
      <c r="O245" s="18" t="s">
        <v>1787</v>
      </c>
      <c r="P245" s="18" t="s">
        <v>60</v>
      </c>
      <c r="Q245" s="18" t="s">
        <v>1788</v>
      </c>
      <c r="R245" s="18"/>
      <c r="S245" s="18" t="s">
        <v>121</v>
      </c>
      <c r="T245" s="18" t="s">
        <v>63</v>
      </c>
      <c r="U245" s="18">
        <v>2010</v>
      </c>
      <c r="V245" s="18" t="s">
        <v>1789</v>
      </c>
      <c r="W245" s="18" t="s">
        <v>1790</v>
      </c>
      <c r="X245" s="26" t="s">
        <v>1791</v>
      </c>
      <c r="Y245" s="18" t="s">
        <v>1792</v>
      </c>
      <c r="Z245" s="18" t="s">
        <v>54</v>
      </c>
      <c r="AA245" s="18">
        <v>86166398090</v>
      </c>
      <c r="AB245" s="18">
        <v>166398090</v>
      </c>
      <c r="AC245" s="18" t="s">
        <v>1793</v>
      </c>
    </row>
    <row r="246" spans="1:29" ht="90" customHeight="1" x14ac:dyDescent="0.3">
      <c r="A246" s="16" t="s">
        <v>42</v>
      </c>
      <c r="B246" s="16" t="s">
        <v>42</v>
      </c>
      <c r="C246" s="16" t="s">
        <v>42</v>
      </c>
      <c r="D246" s="16" t="s">
        <v>42</v>
      </c>
      <c r="E246" s="16" t="s">
        <v>42</v>
      </c>
      <c r="F246" s="16" t="s">
        <v>42</v>
      </c>
      <c r="G246" s="16" t="s">
        <v>42</v>
      </c>
      <c r="H246" s="15" t="s">
        <v>41</v>
      </c>
      <c r="I246" s="16" t="s">
        <v>42</v>
      </c>
      <c r="J246" s="16" t="s">
        <v>42</v>
      </c>
      <c r="K246" s="16" t="s">
        <v>42</v>
      </c>
      <c r="L246" s="17" t="s">
        <v>1794</v>
      </c>
      <c r="M246" s="18" t="s">
        <v>1795</v>
      </c>
      <c r="N246" s="26" t="s">
        <v>1796</v>
      </c>
      <c r="O246" s="18" t="s">
        <v>1797</v>
      </c>
      <c r="P246" s="18" t="s">
        <v>60</v>
      </c>
      <c r="Q246" s="18" t="s">
        <v>1798</v>
      </c>
      <c r="R246" s="18"/>
      <c r="S246" s="18" t="s">
        <v>138</v>
      </c>
      <c r="T246" s="18" t="s">
        <v>63</v>
      </c>
      <c r="U246" s="18">
        <v>2016</v>
      </c>
      <c r="V246" s="18" t="str">
        <f>"0422840099"</f>
        <v>0422840099</v>
      </c>
      <c r="W246" s="18" t="str">
        <f>"0422840099"</f>
        <v>0422840099</v>
      </c>
      <c r="X246" s="26" t="s">
        <v>1799</v>
      </c>
      <c r="Y246" s="18"/>
      <c r="Z246" s="18" t="s">
        <v>54</v>
      </c>
      <c r="AA246" s="18">
        <v>29158027224</v>
      </c>
      <c r="AB246" s="18">
        <v>158027224</v>
      </c>
      <c r="AC246" s="18" t="s">
        <v>531</v>
      </c>
    </row>
    <row r="247" spans="1:29" ht="90" customHeight="1" x14ac:dyDescent="0.3">
      <c r="A247" s="15" t="s">
        <v>41</v>
      </c>
      <c r="B247" s="16" t="s">
        <v>42</v>
      </c>
      <c r="C247" s="16" t="s">
        <v>42</v>
      </c>
      <c r="D247" s="16" t="s">
        <v>42</v>
      </c>
      <c r="E247" s="16" t="s">
        <v>42</v>
      </c>
      <c r="F247" s="16" t="s">
        <v>42</v>
      </c>
      <c r="G247" s="16" t="s">
        <v>42</v>
      </c>
      <c r="H247" s="16" t="s">
        <v>42</v>
      </c>
      <c r="I247" s="16" t="s">
        <v>42</v>
      </c>
      <c r="J247" s="16" t="s">
        <v>42</v>
      </c>
      <c r="K247" s="15" t="s">
        <v>41</v>
      </c>
      <c r="L247" s="17" t="s">
        <v>1800</v>
      </c>
      <c r="M247" s="18" t="s">
        <v>1801</v>
      </c>
      <c r="N247" s="26" t="s">
        <v>1802</v>
      </c>
      <c r="O247" s="18" t="s">
        <v>1803</v>
      </c>
      <c r="P247" s="18" t="s">
        <v>60</v>
      </c>
      <c r="Q247" s="18" t="s">
        <v>1804</v>
      </c>
      <c r="R247" s="18" t="s">
        <v>1805</v>
      </c>
      <c r="S247" s="18" t="s">
        <v>237</v>
      </c>
      <c r="T247" s="18" t="s">
        <v>63</v>
      </c>
      <c r="U247" s="18" t="str">
        <f>"3000"</f>
        <v>3000</v>
      </c>
      <c r="V247" s="18" t="str">
        <f>"396547274"</f>
        <v>396547274</v>
      </c>
      <c r="W247" s="18" t="str">
        <f>"0396547274"</f>
        <v>0396547274</v>
      </c>
      <c r="X247" s="26" t="s">
        <v>1806</v>
      </c>
      <c r="Y247" s="18" t="s">
        <v>1807</v>
      </c>
      <c r="Z247" s="18" t="s">
        <v>54</v>
      </c>
      <c r="AA247" s="18">
        <v>21151602630</v>
      </c>
      <c r="AB247" s="18">
        <v>151602630</v>
      </c>
      <c r="AC247" s="18" t="s">
        <v>76</v>
      </c>
    </row>
    <row r="248" spans="1:29" ht="90" customHeight="1" x14ac:dyDescent="0.3">
      <c r="A248" s="16" t="s">
        <v>42</v>
      </c>
      <c r="B248" s="16" t="s">
        <v>42</v>
      </c>
      <c r="C248" s="16" t="s">
        <v>42</v>
      </c>
      <c r="D248" s="16" t="s">
        <v>42</v>
      </c>
      <c r="E248" s="16" t="s">
        <v>42</v>
      </c>
      <c r="F248" s="16" t="s">
        <v>42</v>
      </c>
      <c r="G248" s="16" t="s">
        <v>42</v>
      </c>
      <c r="H248" s="16" t="s">
        <v>42</v>
      </c>
      <c r="I248" s="15" t="s">
        <v>41</v>
      </c>
      <c r="J248" s="15" t="s">
        <v>41</v>
      </c>
      <c r="K248" s="15" t="s">
        <v>41</v>
      </c>
      <c r="L248" s="17" t="s">
        <v>1808</v>
      </c>
      <c r="M248" s="18" t="s">
        <v>1809</v>
      </c>
      <c r="N248" s="26" t="s">
        <v>1810</v>
      </c>
      <c r="O248" s="18" t="s">
        <v>1811</v>
      </c>
      <c r="P248" s="18" t="s">
        <v>60</v>
      </c>
      <c r="Q248" s="18" t="s">
        <v>1812</v>
      </c>
      <c r="R248" s="18"/>
      <c r="S248" s="18" t="s">
        <v>1813</v>
      </c>
      <c r="T248" s="18" t="s">
        <v>63</v>
      </c>
      <c r="U248" s="18" t="str">
        <f>"2103"</f>
        <v>2103</v>
      </c>
      <c r="V248" s="18" t="str">
        <f>"02 84112734"</f>
        <v>02 84112734</v>
      </c>
      <c r="W248" s="18" t="str">
        <f>""</f>
        <v/>
      </c>
      <c r="X248" s="26" t="s">
        <v>1814</v>
      </c>
      <c r="Y248" s="18" t="s">
        <v>1815</v>
      </c>
      <c r="Z248" s="18" t="s">
        <v>54</v>
      </c>
      <c r="AA248" s="18">
        <v>82131409268</v>
      </c>
      <c r="AB248" s="18">
        <v>131409268</v>
      </c>
      <c r="AC248" s="18" t="s">
        <v>2073</v>
      </c>
    </row>
    <row r="249" spans="1:29" ht="90" customHeight="1" x14ac:dyDescent="0.3">
      <c r="A249" s="16" t="s">
        <v>42</v>
      </c>
      <c r="B249" s="16" t="s">
        <v>42</v>
      </c>
      <c r="C249" s="16" t="s">
        <v>42</v>
      </c>
      <c r="D249" s="16" t="s">
        <v>42</v>
      </c>
      <c r="E249" s="16" t="s">
        <v>42</v>
      </c>
      <c r="F249" s="16" t="s">
        <v>42</v>
      </c>
      <c r="G249" s="16" t="s">
        <v>42</v>
      </c>
      <c r="H249" s="16" t="s">
        <v>42</v>
      </c>
      <c r="I249" s="16" t="s">
        <v>42</v>
      </c>
      <c r="J249" s="15" t="s">
        <v>41</v>
      </c>
      <c r="K249" s="16" t="s">
        <v>42</v>
      </c>
      <c r="L249" s="17" t="s">
        <v>1816</v>
      </c>
      <c r="M249" s="18" t="s">
        <v>1817</v>
      </c>
      <c r="N249" s="26" t="s">
        <v>1818</v>
      </c>
      <c r="O249" s="18" t="s">
        <v>1819</v>
      </c>
      <c r="P249" s="18" t="s">
        <v>60</v>
      </c>
      <c r="Q249" s="18" t="s">
        <v>1820</v>
      </c>
      <c r="R249" s="18"/>
      <c r="S249" s="18" t="s">
        <v>1821</v>
      </c>
      <c r="T249" s="18" t="s">
        <v>63</v>
      </c>
      <c r="U249" s="18" t="str">
        <f>"2515"</f>
        <v>2515</v>
      </c>
      <c r="V249" s="18" t="str">
        <f>"242675088"</f>
        <v>242675088</v>
      </c>
      <c r="W249" s="18" t="str">
        <f>"+61242675088"</f>
        <v>+61242675088</v>
      </c>
      <c r="X249" s="26" t="s">
        <v>1822</v>
      </c>
      <c r="Y249" s="18"/>
      <c r="Z249" s="18" t="s">
        <v>123</v>
      </c>
      <c r="AA249" s="18">
        <v>61098724988</v>
      </c>
      <c r="AB249" s="18">
        <v>98724988</v>
      </c>
      <c r="AC249" s="18" t="s">
        <v>2072</v>
      </c>
    </row>
    <row r="250" spans="1:29" ht="90" customHeight="1" x14ac:dyDescent="0.3">
      <c r="A250" s="16" t="s">
        <v>42</v>
      </c>
      <c r="B250" s="16" t="s">
        <v>42</v>
      </c>
      <c r="C250" s="16" t="s">
        <v>42</v>
      </c>
      <c r="D250" s="16" t="s">
        <v>42</v>
      </c>
      <c r="E250" s="16" t="s">
        <v>42</v>
      </c>
      <c r="F250" s="16" t="s">
        <v>42</v>
      </c>
      <c r="G250" s="16" t="s">
        <v>42</v>
      </c>
      <c r="H250" s="16" t="s">
        <v>42</v>
      </c>
      <c r="I250" s="15" t="s">
        <v>41</v>
      </c>
      <c r="J250" s="15" t="s">
        <v>41</v>
      </c>
      <c r="K250" s="16" t="s">
        <v>42</v>
      </c>
      <c r="L250" s="17" t="s">
        <v>2050</v>
      </c>
      <c r="M250" s="18" t="s">
        <v>2074</v>
      </c>
      <c r="N250" s="26" t="s">
        <v>2075</v>
      </c>
      <c r="O250" s="18" t="s">
        <v>2076</v>
      </c>
      <c r="P250" s="18" t="s">
        <v>2077</v>
      </c>
      <c r="Q250" s="18" t="s">
        <v>2078</v>
      </c>
      <c r="R250" s="18"/>
      <c r="S250" s="18" t="s">
        <v>2079</v>
      </c>
      <c r="T250" s="18" t="s">
        <v>634</v>
      </c>
      <c r="U250" s="18">
        <v>3053</v>
      </c>
      <c r="V250" s="18" t="s">
        <v>2080</v>
      </c>
      <c r="W250" s="18" t="s">
        <v>2081</v>
      </c>
      <c r="X250" s="26" t="s">
        <v>2082</v>
      </c>
      <c r="Y250" s="18"/>
      <c r="Z250" s="18" t="s">
        <v>123</v>
      </c>
      <c r="AA250" s="18">
        <v>73006128963</v>
      </c>
      <c r="AB250" s="18">
        <v>6128963</v>
      </c>
      <c r="AC250" s="18" t="s">
        <v>1987</v>
      </c>
    </row>
    <row r="251" spans="1:29" ht="90" customHeight="1" x14ac:dyDescent="0.3">
      <c r="A251" s="16" t="s">
        <v>42</v>
      </c>
      <c r="B251" s="16" t="s">
        <v>42</v>
      </c>
      <c r="C251" s="16" t="s">
        <v>42</v>
      </c>
      <c r="D251" s="16" t="s">
        <v>42</v>
      </c>
      <c r="E251" s="16" t="s">
        <v>42</v>
      </c>
      <c r="F251" s="16" t="s">
        <v>42</v>
      </c>
      <c r="G251" s="16" t="s">
        <v>42</v>
      </c>
      <c r="H251" s="15" t="s">
        <v>41</v>
      </c>
      <c r="I251" s="16" t="s">
        <v>42</v>
      </c>
      <c r="J251" s="16" t="s">
        <v>42</v>
      </c>
      <c r="K251" s="16" t="s">
        <v>42</v>
      </c>
      <c r="L251" s="17" t="s">
        <v>1823</v>
      </c>
      <c r="M251" s="18" t="s">
        <v>1824</v>
      </c>
      <c r="N251" s="26" t="s">
        <v>1825</v>
      </c>
      <c r="O251" s="18" t="s">
        <v>1826</v>
      </c>
      <c r="P251" s="18" t="s">
        <v>60</v>
      </c>
      <c r="Q251" s="18" t="s">
        <v>1827</v>
      </c>
      <c r="R251" s="18"/>
      <c r="S251" s="18" t="s">
        <v>562</v>
      </c>
      <c r="T251" s="18" t="s">
        <v>63</v>
      </c>
      <c r="U251" s="18" t="str">
        <f>"2065"</f>
        <v>2065</v>
      </c>
      <c r="V251" s="18" t="str">
        <f>"02 9437 3166"</f>
        <v>02 9437 3166</v>
      </c>
      <c r="W251" s="18" t="str">
        <f>"0405 332 994"</f>
        <v>0405 332 994</v>
      </c>
      <c r="X251" s="26" t="s">
        <v>1828</v>
      </c>
      <c r="Y251" s="18"/>
      <c r="Z251" s="18" t="s">
        <v>123</v>
      </c>
      <c r="AA251" s="18">
        <v>72104833507</v>
      </c>
      <c r="AB251" s="18">
        <v>104833507</v>
      </c>
      <c r="AC251" s="18" t="s">
        <v>1829</v>
      </c>
    </row>
    <row r="252" spans="1:29" ht="90" customHeight="1" x14ac:dyDescent="0.3">
      <c r="A252" s="15" t="s">
        <v>41</v>
      </c>
      <c r="B252" s="15" t="s">
        <v>41</v>
      </c>
      <c r="C252" s="16" t="s">
        <v>42</v>
      </c>
      <c r="D252" s="16" t="s">
        <v>42</v>
      </c>
      <c r="E252" s="16" t="s">
        <v>42</v>
      </c>
      <c r="F252" s="16" t="s">
        <v>42</v>
      </c>
      <c r="G252" s="16" t="s">
        <v>42</v>
      </c>
      <c r="H252" s="15" t="s">
        <v>41</v>
      </c>
      <c r="I252" s="15" t="s">
        <v>41</v>
      </c>
      <c r="J252" s="16" t="s">
        <v>42</v>
      </c>
      <c r="K252" s="16" t="s">
        <v>42</v>
      </c>
      <c r="L252" s="17" t="s">
        <v>1830</v>
      </c>
      <c r="M252" s="18" t="s">
        <v>1831</v>
      </c>
      <c r="N252" s="26" t="s">
        <v>1832</v>
      </c>
      <c r="O252" s="18" t="s">
        <v>1833</v>
      </c>
      <c r="P252" s="18" t="s">
        <v>60</v>
      </c>
      <c r="Q252" s="18" t="s">
        <v>1834</v>
      </c>
      <c r="R252" s="18"/>
      <c r="S252" s="18" t="s">
        <v>121</v>
      </c>
      <c r="T252" s="18" t="s">
        <v>63</v>
      </c>
      <c r="U252" s="18" t="str">
        <f>"2008"</f>
        <v>2008</v>
      </c>
      <c r="V252" s="18" t="str">
        <f>"0296982198"</f>
        <v>0296982198</v>
      </c>
      <c r="W252" s="18" t="str">
        <f>"0417120512"</f>
        <v>0417120512</v>
      </c>
      <c r="X252" s="26" t="s">
        <v>1835</v>
      </c>
      <c r="Y252" s="18" t="s">
        <v>1836</v>
      </c>
      <c r="Z252" s="18" t="s">
        <v>123</v>
      </c>
      <c r="AA252" s="18">
        <v>37101656535</v>
      </c>
      <c r="AB252" s="18">
        <v>101656535</v>
      </c>
      <c r="AC252" s="18" t="s">
        <v>476</v>
      </c>
    </row>
    <row r="253" spans="1:29" ht="90" customHeight="1" x14ac:dyDescent="0.3">
      <c r="A253" s="15" t="s">
        <v>41</v>
      </c>
      <c r="B253" s="15" t="s">
        <v>41</v>
      </c>
      <c r="C253" s="15" t="s">
        <v>41</v>
      </c>
      <c r="D253" s="16" t="s">
        <v>42</v>
      </c>
      <c r="E253" s="16" t="s">
        <v>42</v>
      </c>
      <c r="F253" s="16" t="s">
        <v>42</v>
      </c>
      <c r="G253" s="16" t="s">
        <v>42</v>
      </c>
      <c r="H253" s="16" t="s">
        <v>42</v>
      </c>
      <c r="I253" s="16" t="s">
        <v>42</v>
      </c>
      <c r="J253" s="16" t="s">
        <v>42</v>
      </c>
      <c r="K253" s="16" t="s">
        <v>42</v>
      </c>
      <c r="L253" s="17" t="s">
        <v>1837</v>
      </c>
      <c r="M253" s="18" t="s">
        <v>1837</v>
      </c>
      <c r="N253" s="26" t="s">
        <v>1838</v>
      </c>
      <c r="O253" s="18" t="s">
        <v>1839</v>
      </c>
      <c r="P253" s="18" t="s">
        <v>47</v>
      </c>
      <c r="Q253" s="18" t="s">
        <v>1840</v>
      </c>
      <c r="R253" s="18"/>
      <c r="S253" s="18" t="s">
        <v>1841</v>
      </c>
      <c r="T253" s="18" t="s">
        <v>338</v>
      </c>
      <c r="U253" s="18" t="str">
        <f>"4160"</f>
        <v>4160</v>
      </c>
      <c r="V253" s="18" t="str">
        <f>"0447665929"</f>
        <v>0447665929</v>
      </c>
      <c r="W253" s="18" t="str">
        <f>"0447665929"</f>
        <v>0447665929</v>
      </c>
      <c r="X253" s="26" t="s">
        <v>1842</v>
      </c>
      <c r="Y253" s="18" t="s">
        <v>1843</v>
      </c>
      <c r="Z253" s="18" t="s">
        <v>54</v>
      </c>
      <c r="AA253" s="18">
        <v>12500544665</v>
      </c>
      <c r="AB253" s="18"/>
      <c r="AC253" s="18" t="s">
        <v>684</v>
      </c>
    </row>
    <row r="254" spans="1:29" ht="90" customHeight="1" x14ac:dyDescent="0.3">
      <c r="A254" s="16" t="s">
        <v>42</v>
      </c>
      <c r="B254" s="16" t="s">
        <v>42</v>
      </c>
      <c r="C254" s="16" t="s">
        <v>42</v>
      </c>
      <c r="D254" s="16" t="s">
        <v>42</v>
      </c>
      <c r="E254" s="16" t="s">
        <v>42</v>
      </c>
      <c r="F254" s="16" t="s">
        <v>42</v>
      </c>
      <c r="G254" s="16" t="s">
        <v>42</v>
      </c>
      <c r="H254" s="15" t="s">
        <v>41</v>
      </c>
      <c r="I254" s="16" t="s">
        <v>42</v>
      </c>
      <c r="J254" s="16" t="s">
        <v>42</v>
      </c>
      <c r="K254" s="16" t="s">
        <v>42</v>
      </c>
      <c r="L254" s="22" t="s">
        <v>1844</v>
      </c>
      <c r="M254" s="18" t="s">
        <v>1845</v>
      </c>
      <c r="N254" s="26" t="s">
        <v>1846</v>
      </c>
      <c r="O254" s="18" t="s">
        <v>1847</v>
      </c>
      <c r="P254" s="18" t="s">
        <v>335</v>
      </c>
      <c r="Q254" s="18" t="s">
        <v>767</v>
      </c>
      <c r="R254" s="18" t="s">
        <v>1848</v>
      </c>
      <c r="S254" s="18" t="s">
        <v>83</v>
      </c>
      <c r="T254" s="18" t="s">
        <v>63</v>
      </c>
      <c r="U254" s="18">
        <v>2000</v>
      </c>
      <c r="V254" s="18" t="s">
        <v>1849</v>
      </c>
      <c r="W254" s="18" t="s">
        <v>1850</v>
      </c>
      <c r="X254" s="26" t="s">
        <v>1851</v>
      </c>
      <c r="Y254" s="18" t="s">
        <v>1845</v>
      </c>
      <c r="Z254" s="18" t="s">
        <v>123</v>
      </c>
      <c r="AA254" s="18">
        <v>63804200206</v>
      </c>
      <c r="AB254" s="30" t="s">
        <v>1852</v>
      </c>
      <c r="AC254" s="18" t="s">
        <v>1853</v>
      </c>
    </row>
    <row r="255" spans="1:29" ht="90" customHeight="1" x14ac:dyDescent="0.3">
      <c r="A255" s="16" t="s">
        <v>42</v>
      </c>
      <c r="B255" s="16" t="s">
        <v>42</v>
      </c>
      <c r="C255" s="16" t="s">
        <v>42</v>
      </c>
      <c r="D255" s="16" t="s">
        <v>42</v>
      </c>
      <c r="E255" s="16" t="s">
        <v>42</v>
      </c>
      <c r="F255" s="16" t="s">
        <v>42</v>
      </c>
      <c r="G255" s="16" t="s">
        <v>42</v>
      </c>
      <c r="H255" s="16" t="s">
        <v>42</v>
      </c>
      <c r="I255" s="15" t="s">
        <v>41</v>
      </c>
      <c r="J255" s="15" t="s">
        <v>41</v>
      </c>
      <c r="K255" s="16" t="s">
        <v>42</v>
      </c>
      <c r="L255" s="17" t="s">
        <v>1854</v>
      </c>
      <c r="M255" s="18" t="s">
        <v>1855</v>
      </c>
      <c r="N255" s="26" t="s">
        <v>1856</v>
      </c>
      <c r="O255" s="18" t="s">
        <v>1857</v>
      </c>
      <c r="P255" s="18" t="s">
        <v>60</v>
      </c>
      <c r="Q255" s="18" t="s">
        <v>1858</v>
      </c>
      <c r="R255" s="18" t="s">
        <v>1859</v>
      </c>
      <c r="S255" s="18" t="s">
        <v>73</v>
      </c>
      <c r="T255" s="18" t="s">
        <v>63</v>
      </c>
      <c r="U255" s="18" t="str">
        <f>"2095"</f>
        <v>2095</v>
      </c>
      <c r="V255" s="18" t="str">
        <f>"0299776444"</f>
        <v>0299776444</v>
      </c>
      <c r="W255" s="18" t="str">
        <f>"0471585187"</f>
        <v>0471585187</v>
      </c>
      <c r="X255" s="26" t="s">
        <v>1860</v>
      </c>
      <c r="Y255" s="18" t="s">
        <v>1854</v>
      </c>
      <c r="Z255" s="18" t="s">
        <v>54</v>
      </c>
      <c r="AA255" s="18">
        <v>57082033565</v>
      </c>
      <c r="AB255" s="18">
        <v>82033565</v>
      </c>
      <c r="AC255" s="18" t="s">
        <v>1861</v>
      </c>
    </row>
    <row r="256" spans="1:29" ht="90" customHeight="1" x14ac:dyDescent="0.3">
      <c r="A256" s="16" t="s">
        <v>42</v>
      </c>
      <c r="B256" s="16" t="s">
        <v>42</v>
      </c>
      <c r="C256" s="16" t="s">
        <v>42</v>
      </c>
      <c r="D256" s="16" t="s">
        <v>42</v>
      </c>
      <c r="E256" s="16" t="s">
        <v>42</v>
      </c>
      <c r="F256" s="16" t="s">
        <v>42</v>
      </c>
      <c r="G256" s="16" t="s">
        <v>42</v>
      </c>
      <c r="H256" s="15" t="s">
        <v>41</v>
      </c>
      <c r="I256" s="16" t="s">
        <v>42</v>
      </c>
      <c r="J256" s="16" t="s">
        <v>42</v>
      </c>
      <c r="K256" s="16" t="s">
        <v>42</v>
      </c>
      <c r="L256" s="17" t="s">
        <v>1862</v>
      </c>
      <c r="M256" s="18" t="s">
        <v>1863</v>
      </c>
      <c r="N256" s="26" t="s">
        <v>1864</v>
      </c>
      <c r="O256" s="18" t="s">
        <v>1865</v>
      </c>
      <c r="P256" s="18" t="s">
        <v>1866</v>
      </c>
      <c r="Q256" s="18" t="s">
        <v>1867</v>
      </c>
      <c r="R256" s="18"/>
      <c r="S256" s="18" t="s">
        <v>130</v>
      </c>
      <c r="T256" s="18" t="s">
        <v>63</v>
      </c>
      <c r="U256" s="18" t="str">
        <f>"2010"</f>
        <v>2010</v>
      </c>
      <c r="V256" s="18" t="str">
        <f>"0290039000"</f>
        <v>0290039000</v>
      </c>
      <c r="W256" s="18" t="str">
        <f>"0409311551"</f>
        <v>0409311551</v>
      </c>
      <c r="X256" s="26" t="s">
        <v>1868</v>
      </c>
      <c r="Y256" s="18" t="s">
        <v>1869</v>
      </c>
      <c r="Z256" s="18" t="s">
        <v>54</v>
      </c>
      <c r="AA256" s="18">
        <v>72105314636</v>
      </c>
      <c r="AB256" s="18">
        <v>105314636</v>
      </c>
      <c r="AC256" s="18" t="s">
        <v>1870</v>
      </c>
    </row>
    <row r="257" spans="1:29" ht="90" customHeight="1" x14ac:dyDescent="0.3">
      <c r="A257" s="16" t="s">
        <v>42</v>
      </c>
      <c r="B257" s="16" t="s">
        <v>42</v>
      </c>
      <c r="C257" s="16" t="s">
        <v>42</v>
      </c>
      <c r="D257" s="16" t="s">
        <v>42</v>
      </c>
      <c r="E257" s="16" t="s">
        <v>42</v>
      </c>
      <c r="F257" s="16" t="s">
        <v>42</v>
      </c>
      <c r="G257" s="16" t="s">
        <v>42</v>
      </c>
      <c r="H257" s="15" t="s">
        <v>41</v>
      </c>
      <c r="I257" s="16" t="s">
        <v>42</v>
      </c>
      <c r="J257" s="16" t="s">
        <v>42</v>
      </c>
      <c r="K257" s="15" t="s">
        <v>41</v>
      </c>
      <c r="L257" s="17" t="s">
        <v>1871</v>
      </c>
      <c r="M257" s="18" t="s">
        <v>1872</v>
      </c>
      <c r="N257" s="26" t="s">
        <v>1873</v>
      </c>
      <c r="O257" s="18" t="s">
        <v>1874</v>
      </c>
      <c r="P257" s="18" t="s">
        <v>60</v>
      </c>
      <c r="Q257" s="18" t="s">
        <v>1875</v>
      </c>
      <c r="R257" s="18"/>
      <c r="S257" s="18" t="s">
        <v>1015</v>
      </c>
      <c r="T257" s="18" t="s">
        <v>63</v>
      </c>
      <c r="U257" s="18" t="str">
        <f>"2039"</f>
        <v>2039</v>
      </c>
      <c r="V257" s="18" t="str">
        <f>"0432886100"</f>
        <v>0432886100</v>
      </c>
      <c r="W257" s="18" t="str">
        <f>"0432886100"</f>
        <v>0432886100</v>
      </c>
      <c r="X257" s="26" t="s">
        <v>1876</v>
      </c>
      <c r="Y257" s="18" t="s">
        <v>1877</v>
      </c>
      <c r="Z257" s="18" t="s">
        <v>54</v>
      </c>
      <c r="AA257" s="18">
        <v>82158274198</v>
      </c>
      <c r="AB257" s="18">
        <v>158274198</v>
      </c>
      <c r="AC257" s="18" t="s">
        <v>949</v>
      </c>
    </row>
    <row r="258" spans="1:29" ht="90" customHeight="1" x14ac:dyDescent="0.3">
      <c r="A258" s="16" t="s">
        <v>42</v>
      </c>
      <c r="B258" s="16" t="s">
        <v>42</v>
      </c>
      <c r="C258" s="16" t="s">
        <v>42</v>
      </c>
      <c r="D258" s="16" t="s">
        <v>42</v>
      </c>
      <c r="E258" s="16" t="s">
        <v>42</v>
      </c>
      <c r="F258" s="16" t="s">
        <v>42</v>
      </c>
      <c r="G258" s="16" t="s">
        <v>42</v>
      </c>
      <c r="H258" s="15" t="s">
        <v>41</v>
      </c>
      <c r="I258" s="16" t="s">
        <v>42</v>
      </c>
      <c r="J258" s="16" t="s">
        <v>42</v>
      </c>
      <c r="K258" s="16" t="s">
        <v>42</v>
      </c>
      <c r="L258" s="17" t="s">
        <v>1878</v>
      </c>
      <c r="M258" s="18" t="s">
        <v>1879</v>
      </c>
      <c r="N258" s="26" t="s">
        <v>1880</v>
      </c>
      <c r="O258" s="18" t="s">
        <v>1881</v>
      </c>
      <c r="P258" s="18" t="s">
        <v>47</v>
      </c>
      <c r="Q258" s="18" t="s">
        <v>1882</v>
      </c>
      <c r="R258" s="18"/>
      <c r="S258" s="18" t="s">
        <v>130</v>
      </c>
      <c r="T258" s="18" t="s">
        <v>63</v>
      </c>
      <c r="U258" s="18" t="str">
        <f>"2010"</f>
        <v>2010</v>
      </c>
      <c r="V258" s="18" t="str">
        <f>"02 9281 4399"</f>
        <v>02 9281 4399</v>
      </c>
      <c r="W258" s="18" t="str">
        <f>"0434692288"</f>
        <v>0434692288</v>
      </c>
      <c r="X258" s="26" t="s">
        <v>1883</v>
      </c>
      <c r="Y258" s="18"/>
      <c r="Z258" s="18" t="s">
        <v>123</v>
      </c>
      <c r="AA258" s="18">
        <v>77001209392</v>
      </c>
      <c r="AB258" s="18">
        <v>1209392</v>
      </c>
      <c r="AC258" s="18" t="s">
        <v>1884</v>
      </c>
    </row>
    <row r="259" spans="1:29" ht="90" customHeight="1" x14ac:dyDescent="0.3">
      <c r="A259" s="16" t="s">
        <v>42</v>
      </c>
      <c r="B259" s="16" t="s">
        <v>42</v>
      </c>
      <c r="C259" s="16" t="s">
        <v>42</v>
      </c>
      <c r="D259" s="16" t="s">
        <v>42</v>
      </c>
      <c r="E259" s="16" t="s">
        <v>42</v>
      </c>
      <c r="F259" s="16" t="s">
        <v>42</v>
      </c>
      <c r="G259" s="16" t="s">
        <v>42</v>
      </c>
      <c r="H259" s="15" t="s">
        <v>41</v>
      </c>
      <c r="I259" s="15" t="s">
        <v>41</v>
      </c>
      <c r="J259" s="16" t="s">
        <v>42</v>
      </c>
      <c r="K259" s="16" t="s">
        <v>42</v>
      </c>
      <c r="L259" s="17" t="s">
        <v>1885</v>
      </c>
      <c r="M259" s="18" t="s">
        <v>1886</v>
      </c>
      <c r="N259" s="26" t="s">
        <v>1887</v>
      </c>
      <c r="O259" s="18" t="s">
        <v>1888</v>
      </c>
      <c r="P259" s="18" t="s">
        <v>1889</v>
      </c>
      <c r="Q259" s="18" t="s">
        <v>1890</v>
      </c>
      <c r="R259" s="18"/>
      <c r="S259" s="18" t="s">
        <v>130</v>
      </c>
      <c r="T259" s="18" t="s">
        <v>63</v>
      </c>
      <c r="U259" s="18" t="str">
        <f>"2010"</f>
        <v>2010</v>
      </c>
      <c r="V259" s="18" t="str">
        <f>"0292154900"</f>
        <v>0292154900</v>
      </c>
      <c r="W259" s="18" t="str">
        <f>""</f>
        <v/>
      </c>
      <c r="X259" s="26" t="s">
        <v>1891</v>
      </c>
      <c r="Y259" s="18"/>
      <c r="Z259" s="18" t="s">
        <v>123</v>
      </c>
      <c r="AA259" s="18">
        <v>46002722349</v>
      </c>
      <c r="AB259" s="18">
        <v>2722349</v>
      </c>
      <c r="AC259" s="18" t="s">
        <v>501</v>
      </c>
    </row>
    <row r="260" spans="1:29" ht="90" customHeight="1" x14ac:dyDescent="0.3">
      <c r="A260" s="16" t="s">
        <v>42</v>
      </c>
      <c r="B260" s="16" t="s">
        <v>42</v>
      </c>
      <c r="C260" s="16" t="s">
        <v>42</v>
      </c>
      <c r="D260" s="16" t="s">
        <v>42</v>
      </c>
      <c r="E260" s="16" t="s">
        <v>42</v>
      </c>
      <c r="F260" s="16" t="s">
        <v>42</v>
      </c>
      <c r="G260" s="16" t="s">
        <v>42</v>
      </c>
      <c r="H260" s="15" t="s">
        <v>41</v>
      </c>
      <c r="I260" s="16" t="s">
        <v>42</v>
      </c>
      <c r="J260" s="16" t="s">
        <v>42</v>
      </c>
      <c r="K260" s="16" t="s">
        <v>42</v>
      </c>
      <c r="L260" s="17" t="s">
        <v>1892</v>
      </c>
      <c r="M260" s="18" t="s">
        <v>2121</v>
      </c>
      <c r="N260" s="26" t="s">
        <v>1893</v>
      </c>
      <c r="O260" s="18" t="s">
        <v>1894</v>
      </c>
      <c r="P260" s="18" t="s">
        <v>60</v>
      </c>
      <c r="Q260" s="18" t="s">
        <v>1895</v>
      </c>
      <c r="R260" s="18"/>
      <c r="S260" s="18" t="s">
        <v>121</v>
      </c>
      <c r="T260" s="18" t="s">
        <v>63</v>
      </c>
      <c r="U260" s="18" t="str">
        <f>"2030"</f>
        <v>2030</v>
      </c>
      <c r="V260" s="18" t="str">
        <f>"02 96982900"</f>
        <v>02 96982900</v>
      </c>
      <c r="W260" s="18" t="str">
        <f>"0419169404"</f>
        <v>0419169404</v>
      </c>
      <c r="X260" s="26" t="s">
        <v>1896</v>
      </c>
      <c r="Y260" s="18"/>
      <c r="Z260" s="18" t="s">
        <v>123</v>
      </c>
      <c r="AA260" s="18" t="s">
        <v>2122</v>
      </c>
      <c r="AB260" s="18">
        <v>135802710</v>
      </c>
      <c r="AC260" s="18" t="s">
        <v>1110</v>
      </c>
    </row>
    <row r="261" spans="1:29" ht="90" customHeight="1" x14ac:dyDescent="0.3">
      <c r="A261" s="16" t="s">
        <v>42</v>
      </c>
      <c r="B261" s="16" t="s">
        <v>42</v>
      </c>
      <c r="C261" s="16" t="s">
        <v>42</v>
      </c>
      <c r="D261" s="16" t="s">
        <v>42</v>
      </c>
      <c r="E261" s="16" t="s">
        <v>42</v>
      </c>
      <c r="F261" s="16" t="s">
        <v>42</v>
      </c>
      <c r="G261" s="16" t="s">
        <v>42</v>
      </c>
      <c r="H261" s="16" t="s">
        <v>42</v>
      </c>
      <c r="I261" s="15" t="s">
        <v>41</v>
      </c>
      <c r="J261" s="15" t="s">
        <v>41</v>
      </c>
      <c r="K261" s="16" t="s">
        <v>42</v>
      </c>
      <c r="L261" s="17" t="s">
        <v>1897</v>
      </c>
      <c r="M261" s="18" t="s">
        <v>1898</v>
      </c>
      <c r="N261" s="26" t="s">
        <v>1899</v>
      </c>
      <c r="O261" s="18" t="s">
        <v>1900</v>
      </c>
      <c r="P261" s="18" t="s">
        <v>1901</v>
      </c>
      <c r="Q261" s="18" t="s">
        <v>1902</v>
      </c>
      <c r="R261" s="18" t="s">
        <v>1903</v>
      </c>
      <c r="S261" s="18" t="s">
        <v>392</v>
      </c>
      <c r="T261" s="18" t="s">
        <v>63</v>
      </c>
      <c r="U261" s="18" t="str">
        <f>"2060"</f>
        <v>2060</v>
      </c>
      <c r="V261" s="18" t="str">
        <f>"02 9954 3733"</f>
        <v>02 9954 3733</v>
      </c>
      <c r="W261" s="18" t="s">
        <v>1904</v>
      </c>
      <c r="X261" s="26" t="s">
        <v>1905</v>
      </c>
      <c r="Y261" s="18"/>
      <c r="Z261" s="18" t="s">
        <v>213</v>
      </c>
      <c r="AA261" s="18">
        <v>75423048489</v>
      </c>
      <c r="AB261" s="18"/>
      <c r="AC261" s="18" t="s">
        <v>1906</v>
      </c>
    </row>
    <row r="262" spans="1:29" ht="90" customHeight="1" x14ac:dyDescent="0.3">
      <c r="A262" s="16" t="s">
        <v>42</v>
      </c>
      <c r="B262" s="16" t="s">
        <v>42</v>
      </c>
      <c r="C262" s="16" t="s">
        <v>42</v>
      </c>
      <c r="D262" s="16" t="s">
        <v>42</v>
      </c>
      <c r="E262" s="16" t="s">
        <v>42</v>
      </c>
      <c r="F262" s="16" t="s">
        <v>42</v>
      </c>
      <c r="G262" s="16" t="s">
        <v>42</v>
      </c>
      <c r="H262" s="15" t="s">
        <v>41</v>
      </c>
      <c r="I262" s="16" t="s">
        <v>42</v>
      </c>
      <c r="J262" s="16" t="s">
        <v>42</v>
      </c>
      <c r="K262" s="16" t="s">
        <v>42</v>
      </c>
      <c r="L262" s="17" t="s">
        <v>1907</v>
      </c>
      <c r="M262" s="18" t="s">
        <v>1907</v>
      </c>
      <c r="N262" s="26" t="s">
        <v>1908</v>
      </c>
      <c r="O262" s="18" t="s">
        <v>1909</v>
      </c>
      <c r="P262" s="18" t="s">
        <v>189</v>
      </c>
      <c r="Q262" s="18" t="s">
        <v>1910</v>
      </c>
      <c r="R262" s="18"/>
      <c r="S262" s="18" t="s">
        <v>130</v>
      </c>
      <c r="T262" s="18" t="s">
        <v>63</v>
      </c>
      <c r="U262" s="18" t="str">
        <f>"2010"</f>
        <v>2010</v>
      </c>
      <c r="V262" s="18" t="str">
        <f>"02 9221 3211"</f>
        <v>02 9221 3211</v>
      </c>
      <c r="W262" s="18" t="str">
        <f>""</f>
        <v/>
      </c>
      <c r="X262" s="26" t="s">
        <v>1911</v>
      </c>
      <c r="Y262" s="18"/>
      <c r="Z262" s="18" t="s">
        <v>54</v>
      </c>
      <c r="AA262" s="18">
        <v>37125249416</v>
      </c>
      <c r="AB262" s="18"/>
      <c r="AC262" s="18" t="s">
        <v>1912</v>
      </c>
    </row>
    <row r="263" spans="1:29" ht="90" customHeight="1" x14ac:dyDescent="0.3">
      <c r="A263" s="16" t="s">
        <v>42</v>
      </c>
      <c r="B263" s="16" t="s">
        <v>42</v>
      </c>
      <c r="C263" s="16" t="s">
        <v>42</v>
      </c>
      <c r="D263" s="16" t="s">
        <v>42</v>
      </c>
      <c r="E263" s="16" t="s">
        <v>42</v>
      </c>
      <c r="F263" s="16" t="s">
        <v>42</v>
      </c>
      <c r="G263" s="16" t="s">
        <v>42</v>
      </c>
      <c r="H263" s="16" t="s">
        <v>42</v>
      </c>
      <c r="I263" s="15" t="s">
        <v>41</v>
      </c>
      <c r="J263" s="15" t="s">
        <v>41</v>
      </c>
      <c r="K263" s="16" t="s">
        <v>42</v>
      </c>
      <c r="L263" s="17" t="s">
        <v>1913</v>
      </c>
      <c r="M263" s="18" t="s">
        <v>1914</v>
      </c>
      <c r="N263" s="26" t="s">
        <v>1915</v>
      </c>
      <c r="O263" s="18" t="s">
        <v>1916</v>
      </c>
      <c r="P263" s="18" t="s">
        <v>698</v>
      </c>
      <c r="Q263" s="18" t="s">
        <v>1917</v>
      </c>
      <c r="R263" s="18"/>
      <c r="S263" s="18" t="s">
        <v>1918</v>
      </c>
      <c r="T263" s="18" t="s">
        <v>63</v>
      </c>
      <c r="U263" s="18" t="str">
        <f>"2230"</f>
        <v>2230</v>
      </c>
      <c r="V263" s="18" t="str">
        <f>"+612295273380"</f>
        <v>+612295273380</v>
      </c>
      <c r="W263" s="18" t="str">
        <f>"+61438249061"</f>
        <v>+61438249061</v>
      </c>
      <c r="X263" s="26" t="s">
        <v>1919</v>
      </c>
      <c r="Y263" s="18" t="s">
        <v>1913</v>
      </c>
      <c r="Z263" s="18" t="s">
        <v>54</v>
      </c>
      <c r="AA263" s="18">
        <v>77097739663</v>
      </c>
      <c r="AB263" s="18">
        <v>97739663</v>
      </c>
      <c r="AC263" s="18" t="s">
        <v>222</v>
      </c>
    </row>
    <row r="264" spans="1:29" ht="90" customHeight="1" x14ac:dyDescent="0.3">
      <c r="A264" s="16" t="s">
        <v>42</v>
      </c>
      <c r="B264" s="16" t="s">
        <v>42</v>
      </c>
      <c r="C264" s="16" t="s">
        <v>42</v>
      </c>
      <c r="D264" s="16" t="s">
        <v>42</v>
      </c>
      <c r="E264" s="16" t="s">
        <v>42</v>
      </c>
      <c r="F264" s="16" t="s">
        <v>42</v>
      </c>
      <c r="G264" s="16" t="s">
        <v>42</v>
      </c>
      <c r="H264" s="16" t="s">
        <v>42</v>
      </c>
      <c r="I264" s="15" t="s">
        <v>41</v>
      </c>
      <c r="J264" s="15" t="s">
        <v>41</v>
      </c>
      <c r="K264" s="15" t="s">
        <v>41</v>
      </c>
      <c r="L264" s="17" t="s">
        <v>1920</v>
      </c>
      <c r="M264" s="18" t="s">
        <v>1921</v>
      </c>
      <c r="N264" s="26" t="s">
        <v>1922</v>
      </c>
      <c r="O264" s="18" t="s">
        <v>1923</v>
      </c>
      <c r="P264" s="18" t="s">
        <v>60</v>
      </c>
      <c r="Q264" s="18" t="s">
        <v>1924</v>
      </c>
      <c r="R264" s="18" t="s">
        <v>1925</v>
      </c>
      <c r="S264" s="18" t="s">
        <v>73</v>
      </c>
      <c r="T264" s="18" t="s">
        <v>63</v>
      </c>
      <c r="U264" s="18" t="str">
        <f>"2000"</f>
        <v>2000</v>
      </c>
      <c r="V264" s="18" t="str">
        <f>"0410928926"</f>
        <v>0410928926</v>
      </c>
      <c r="W264" s="18" t="str">
        <f>""</f>
        <v/>
      </c>
      <c r="X264" s="26" t="s">
        <v>1926</v>
      </c>
      <c r="Y264" s="18" t="s">
        <v>1927</v>
      </c>
      <c r="Z264" s="18" t="s">
        <v>54</v>
      </c>
      <c r="AA264" s="18">
        <v>97167623216</v>
      </c>
      <c r="AB264" s="18">
        <v>167623216</v>
      </c>
      <c r="AC264" s="18" t="s">
        <v>1928</v>
      </c>
    </row>
    <row r="265" spans="1:29" ht="90" customHeight="1" x14ac:dyDescent="0.3">
      <c r="A265" s="16" t="s">
        <v>42</v>
      </c>
      <c r="B265" s="16" t="s">
        <v>42</v>
      </c>
      <c r="C265" s="16" t="s">
        <v>42</v>
      </c>
      <c r="D265" s="16" t="s">
        <v>42</v>
      </c>
      <c r="E265" s="15" t="s">
        <v>41</v>
      </c>
      <c r="F265" s="15" t="s">
        <v>41</v>
      </c>
      <c r="G265" s="16" t="s">
        <v>42</v>
      </c>
      <c r="H265" s="16" t="s">
        <v>42</v>
      </c>
      <c r="I265" s="16" t="s">
        <v>42</v>
      </c>
      <c r="J265" s="16" t="s">
        <v>42</v>
      </c>
      <c r="K265" s="16" t="s">
        <v>42</v>
      </c>
      <c r="L265" s="17" t="s">
        <v>1929</v>
      </c>
      <c r="M265" s="18" t="s">
        <v>1930</v>
      </c>
      <c r="N265" s="26" t="s">
        <v>1931</v>
      </c>
      <c r="O265" s="18" t="s">
        <v>1932</v>
      </c>
      <c r="P265" s="18" t="s">
        <v>155</v>
      </c>
      <c r="Q265" s="18" t="s">
        <v>1933</v>
      </c>
      <c r="R265" s="18"/>
      <c r="S265" s="18" t="s">
        <v>182</v>
      </c>
      <c r="T265" s="18" t="s">
        <v>63</v>
      </c>
      <c r="U265" s="18" t="str">
        <f>"2022"</f>
        <v>2022</v>
      </c>
      <c r="V265" s="18" t="str">
        <f>"02 9387 2600"</f>
        <v>02 9387 2600</v>
      </c>
      <c r="W265" s="18" t="str">
        <f>""</f>
        <v/>
      </c>
      <c r="X265" s="26" t="s">
        <v>1934</v>
      </c>
      <c r="Y265" s="18"/>
      <c r="Z265" s="18" t="s">
        <v>213</v>
      </c>
      <c r="AA265" s="18">
        <v>56003853101</v>
      </c>
      <c r="AB265" s="18">
        <v>3853101</v>
      </c>
      <c r="AC265" s="18" t="s">
        <v>1110</v>
      </c>
    </row>
    <row r="266" spans="1:29" ht="90" customHeight="1" x14ac:dyDescent="0.3">
      <c r="A266" s="16" t="s">
        <v>42</v>
      </c>
      <c r="B266" s="16" t="s">
        <v>42</v>
      </c>
      <c r="C266" s="16" t="s">
        <v>42</v>
      </c>
      <c r="D266" s="16" t="s">
        <v>42</v>
      </c>
      <c r="E266" s="16" t="s">
        <v>42</v>
      </c>
      <c r="F266" s="16" t="s">
        <v>42</v>
      </c>
      <c r="G266" s="16" t="s">
        <v>42</v>
      </c>
      <c r="H266" s="16" t="s">
        <v>42</v>
      </c>
      <c r="I266" s="16" t="s">
        <v>42</v>
      </c>
      <c r="J266" s="15" t="s">
        <v>41</v>
      </c>
      <c r="K266" s="16" t="s">
        <v>42</v>
      </c>
      <c r="L266" s="17" t="s">
        <v>1935</v>
      </c>
      <c r="M266" s="18" t="s">
        <v>1935</v>
      </c>
      <c r="N266" s="26" t="s">
        <v>1936</v>
      </c>
      <c r="O266" s="18" t="s">
        <v>1937</v>
      </c>
      <c r="P266" s="18" t="s">
        <v>358</v>
      </c>
      <c r="Q266" s="18" t="s">
        <v>1938</v>
      </c>
      <c r="R266" s="18"/>
      <c r="S266" s="18" t="s">
        <v>237</v>
      </c>
      <c r="T266" s="18" t="s">
        <v>634</v>
      </c>
      <c r="U266" s="18" t="str">
        <f>"3000"</f>
        <v>3000</v>
      </c>
      <c r="V266" s="18" t="str">
        <f>"03 9329 6844"</f>
        <v>03 9329 6844</v>
      </c>
      <c r="W266" s="18" t="str">
        <f>""</f>
        <v/>
      </c>
      <c r="X266" s="26" t="s">
        <v>1939</v>
      </c>
      <c r="Y266" s="18"/>
      <c r="Z266" s="18" t="s">
        <v>54</v>
      </c>
      <c r="AA266" s="18">
        <v>89097272261</v>
      </c>
      <c r="AB266" s="18">
        <v>97272261</v>
      </c>
      <c r="AC266" s="18" t="s">
        <v>1209</v>
      </c>
    </row>
    <row r="267" spans="1:29" ht="90" customHeight="1" x14ac:dyDescent="0.3">
      <c r="A267" s="16" t="s">
        <v>42</v>
      </c>
      <c r="B267" s="16" t="s">
        <v>42</v>
      </c>
      <c r="C267" s="16" t="s">
        <v>42</v>
      </c>
      <c r="D267" s="16" t="s">
        <v>42</v>
      </c>
      <c r="E267" s="16" t="s">
        <v>42</v>
      </c>
      <c r="F267" s="16" t="s">
        <v>42</v>
      </c>
      <c r="G267" s="16" t="s">
        <v>42</v>
      </c>
      <c r="H267" s="15" t="s">
        <v>41</v>
      </c>
      <c r="I267" s="15" t="s">
        <v>41</v>
      </c>
      <c r="J267" s="16" t="s">
        <v>42</v>
      </c>
      <c r="K267" s="15" t="s">
        <v>41</v>
      </c>
      <c r="L267" s="17" t="s">
        <v>1940</v>
      </c>
      <c r="M267" s="18" t="s">
        <v>1941</v>
      </c>
      <c r="N267" s="26" t="s">
        <v>1942</v>
      </c>
      <c r="O267" s="18" t="s">
        <v>1943</v>
      </c>
      <c r="P267" s="18" t="s">
        <v>60</v>
      </c>
      <c r="Q267" s="18" t="s">
        <v>1944</v>
      </c>
      <c r="R267" s="18"/>
      <c r="S267" s="18" t="s">
        <v>83</v>
      </c>
      <c r="T267" s="18" t="s">
        <v>63</v>
      </c>
      <c r="U267" s="18" t="str">
        <f>"2000"</f>
        <v>2000</v>
      </c>
      <c r="V267" s="18" t="str">
        <f>"02 85939280"</f>
        <v>02 85939280</v>
      </c>
      <c r="W267" s="18" t="str">
        <f>"0431646146"</f>
        <v>0431646146</v>
      </c>
      <c r="X267" s="26" t="s">
        <v>1945</v>
      </c>
      <c r="Y267" s="18" t="s">
        <v>1946</v>
      </c>
      <c r="Z267" s="18" t="s">
        <v>54</v>
      </c>
      <c r="AA267" s="18">
        <v>12600461729</v>
      </c>
      <c r="AB267" s="18">
        <v>600461729</v>
      </c>
      <c r="AC267" s="18" t="s">
        <v>811</v>
      </c>
    </row>
    <row r="268" spans="1:29" ht="90" customHeight="1" x14ac:dyDescent="0.3">
      <c r="A268" s="16" t="s">
        <v>42</v>
      </c>
      <c r="B268" s="16" t="s">
        <v>42</v>
      </c>
      <c r="C268" s="15" t="s">
        <v>41</v>
      </c>
      <c r="D268" s="16" t="s">
        <v>42</v>
      </c>
      <c r="E268" s="15" t="s">
        <v>41</v>
      </c>
      <c r="F268" s="16" t="s">
        <v>42</v>
      </c>
      <c r="G268" s="16" t="s">
        <v>42</v>
      </c>
      <c r="H268" s="15" t="s">
        <v>41</v>
      </c>
      <c r="I268" s="15" t="s">
        <v>41</v>
      </c>
      <c r="J268" s="15" t="s">
        <v>41</v>
      </c>
      <c r="K268" s="16" t="s">
        <v>42</v>
      </c>
      <c r="L268" s="17" t="s">
        <v>1947</v>
      </c>
      <c r="M268" s="18" t="s">
        <v>2134</v>
      </c>
      <c r="N268" s="26" t="s">
        <v>1948</v>
      </c>
      <c r="O268" s="18" t="s">
        <v>1949</v>
      </c>
      <c r="P268" s="18" t="s">
        <v>60</v>
      </c>
      <c r="Q268" s="18" t="s">
        <v>1950</v>
      </c>
      <c r="R268" s="18" t="s">
        <v>1951</v>
      </c>
      <c r="S268" s="18" t="s">
        <v>83</v>
      </c>
      <c r="T268" s="18" t="s">
        <v>63</v>
      </c>
      <c r="U268" s="18" t="str">
        <f>"2000"</f>
        <v>2000</v>
      </c>
      <c r="V268" s="18" t="str">
        <f>"(02) 8233 9900"</f>
        <v>(02) 8233 9900</v>
      </c>
      <c r="W268" s="18" t="str">
        <f>""</f>
        <v/>
      </c>
      <c r="X268" s="26" t="s">
        <v>1952</v>
      </c>
      <c r="Y268" s="18" t="s">
        <v>1953</v>
      </c>
      <c r="Z268" s="18" t="s">
        <v>85</v>
      </c>
      <c r="AA268" s="18">
        <v>50105256228</v>
      </c>
      <c r="AB268" s="18">
        <v>105256228</v>
      </c>
      <c r="AC268" s="18" t="s">
        <v>1954</v>
      </c>
    </row>
    <row r="269" spans="1:29" ht="90" customHeight="1" x14ac:dyDescent="0.3">
      <c r="A269" s="16" t="s">
        <v>42</v>
      </c>
      <c r="B269" s="16" t="s">
        <v>42</v>
      </c>
      <c r="C269" s="16" t="s">
        <v>42</v>
      </c>
      <c r="D269" s="16" t="s">
        <v>42</v>
      </c>
      <c r="E269" s="16" t="s">
        <v>42</v>
      </c>
      <c r="F269" s="16" t="s">
        <v>42</v>
      </c>
      <c r="G269" s="16" t="s">
        <v>42</v>
      </c>
      <c r="H269" s="15" t="s">
        <v>41</v>
      </c>
      <c r="I269" s="16" t="s">
        <v>42</v>
      </c>
      <c r="J269" s="16" t="s">
        <v>42</v>
      </c>
      <c r="K269" s="16" t="s">
        <v>42</v>
      </c>
      <c r="L269" s="17" t="s">
        <v>1955</v>
      </c>
      <c r="M269" s="18" t="s">
        <v>1956</v>
      </c>
      <c r="N269" s="26" t="s">
        <v>1957</v>
      </c>
      <c r="O269" s="18" t="s">
        <v>1958</v>
      </c>
      <c r="P269" s="18" t="s">
        <v>1959</v>
      </c>
      <c r="Q269" s="18" t="s">
        <v>1960</v>
      </c>
      <c r="R269" s="18" t="s">
        <v>978</v>
      </c>
      <c r="S269" s="18" t="s">
        <v>83</v>
      </c>
      <c r="T269" s="18" t="s">
        <v>63</v>
      </c>
      <c r="U269" s="18" t="str">
        <f>"2000"</f>
        <v>2000</v>
      </c>
      <c r="V269" s="18" t="s">
        <v>1961</v>
      </c>
      <c r="W269" s="18" t="s">
        <v>1962</v>
      </c>
      <c r="X269" s="26" t="s">
        <v>1963</v>
      </c>
      <c r="Y269" s="18"/>
      <c r="Z269" s="18" t="s">
        <v>85</v>
      </c>
      <c r="AA269" s="18">
        <v>15607221198</v>
      </c>
      <c r="AB269" s="18">
        <v>607221198</v>
      </c>
      <c r="AC269" s="18" t="s">
        <v>1964</v>
      </c>
    </row>
    <row r="270" spans="1:29" ht="90" customHeight="1" x14ac:dyDescent="0.3">
      <c r="A270" s="16" t="s">
        <v>42</v>
      </c>
      <c r="B270" s="16" t="s">
        <v>42</v>
      </c>
      <c r="C270" s="16" t="s">
        <v>42</v>
      </c>
      <c r="D270" s="16" t="s">
        <v>42</v>
      </c>
      <c r="E270" s="16" t="s">
        <v>42</v>
      </c>
      <c r="F270" s="16" t="s">
        <v>42</v>
      </c>
      <c r="G270" s="16" t="s">
        <v>42</v>
      </c>
      <c r="H270" s="15" t="s">
        <v>41</v>
      </c>
      <c r="I270" s="16" t="s">
        <v>42</v>
      </c>
      <c r="J270" s="16" t="s">
        <v>42</v>
      </c>
      <c r="K270" s="16" t="s">
        <v>42</v>
      </c>
      <c r="L270" s="17" t="s">
        <v>1965</v>
      </c>
      <c r="M270" s="18" t="s">
        <v>1966</v>
      </c>
      <c r="N270" s="26" t="s">
        <v>1967</v>
      </c>
      <c r="O270" s="18" t="s">
        <v>1968</v>
      </c>
      <c r="P270" s="18" t="s">
        <v>1969</v>
      </c>
      <c r="Q270" s="18" t="s">
        <v>570</v>
      </c>
      <c r="R270" s="18" t="s">
        <v>1028</v>
      </c>
      <c r="S270" s="18" t="s">
        <v>130</v>
      </c>
      <c r="T270" s="18" t="s">
        <v>63</v>
      </c>
      <c r="U270" s="18" t="str">
        <f>"2010"</f>
        <v>2010</v>
      </c>
      <c r="V270" s="18" t="str">
        <f>"0296996066"</f>
        <v>0296996066</v>
      </c>
      <c r="W270" s="18" t="str">
        <f>""</f>
        <v/>
      </c>
      <c r="X270" s="26" t="s">
        <v>1970</v>
      </c>
      <c r="Y270" s="18" t="s">
        <v>1971</v>
      </c>
      <c r="Z270" s="18" t="s">
        <v>54</v>
      </c>
      <c r="AA270" s="18">
        <v>67612977303</v>
      </c>
      <c r="AB270" s="18"/>
      <c r="AC270" s="18" t="s">
        <v>256</v>
      </c>
    </row>
    <row r="271" spans="1:29" ht="90" customHeight="1" x14ac:dyDescent="0.3">
      <c r="A271" s="16" t="s">
        <v>42</v>
      </c>
      <c r="B271" s="16" t="s">
        <v>42</v>
      </c>
      <c r="C271" s="16" t="s">
        <v>42</v>
      </c>
      <c r="D271" s="16" t="s">
        <v>42</v>
      </c>
      <c r="E271" s="16" t="s">
        <v>42</v>
      </c>
      <c r="F271" s="16" t="s">
        <v>42</v>
      </c>
      <c r="G271" s="16" t="s">
        <v>42</v>
      </c>
      <c r="H271" s="15" t="s">
        <v>41</v>
      </c>
      <c r="I271" s="15" t="s">
        <v>41</v>
      </c>
      <c r="J271" s="16" t="s">
        <v>42</v>
      </c>
      <c r="K271" s="16" t="s">
        <v>42</v>
      </c>
      <c r="L271" s="17" t="s">
        <v>1972</v>
      </c>
      <c r="M271" s="18" t="s">
        <v>1973</v>
      </c>
      <c r="N271" s="26" t="s">
        <v>1974</v>
      </c>
      <c r="O271" s="18" t="s">
        <v>1975</v>
      </c>
      <c r="P271" s="18" t="s">
        <v>189</v>
      </c>
      <c r="Q271" s="18" t="s">
        <v>1976</v>
      </c>
      <c r="R271" s="18" t="s">
        <v>1977</v>
      </c>
      <c r="S271" s="18" t="s">
        <v>130</v>
      </c>
      <c r="T271" s="18" t="s">
        <v>63</v>
      </c>
      <c r="U271" s="18" t="str">
        <f>"2010"</f>
        <v>2010</v>
      </c>
      <c r="V271" s="18" t="str">
        <f>"0292111263"</f>
        <v>0292111263</v>
      </c>
      <c r="W271" s="18" t="str">
        <f>"0407866682"</f>
        <v>0407866682</v>
      </c>
      <c r="X271" s="26" t="s">
        <v>1978</v>
      </c>
      <c r="Y271" s="18"/>
      <c r="Z271" s="18" t="s">
        <v>123</v>
      </c>
      <c r="AA271" s="18">
        <v>52600349308</v>
      </c>
      <c r="AB271" s="18">
        <v>600349308</v>
      </c>
      <c r="AC271" s="18" t="s">
        <v>827</v>
      </c>
    </row>
    <row r="272" spans="1:29" ht="90" customHeight="1" x14ac:dyDescent="0.3">
      <c r="A272" s="16" t="s">
        <v>42</v>
      </c>
      <c r="B272" s="16" t="s">
        <v>42</v>
      </c>
      <c r="C272" s="16" t="s">
        <v>42</v>
      </c>
      <c r="D272" s="16" t="s">
        <v>42</v>
      </c>
      <c r="E272" s="16" t="s">
        <v>42</v>
      </c>
      <c r="F272" s="16" t="s">
        <v>42</v>
      </c>
      <c r="G272" s="16" t="s">
        <v>42</v>
      </c>
      <c r="H272" s="15" t="s">
        <v>41</v>
      </c>
      <c r="I272" s="16" t="s">
        <v>42</v>
      </c>
      <c r="J272" s="16" t="s">
        <v>42</v>
      </c>
      <c r="K272" s="16" t="s">
        <v>42</v>
      </c>
      <c r="L272" s="22" t="s">
        <v>1979</v>
      </c>
      <c r="M272" s="18" t="s">
        <v>1979</v>
      </c>
      <c r="N272" s="26" t="s">
        <v>1980</v>
      </c>
      <c r="O272" s="18" t="s">
        <v>1981</v>
      </c>
      <c r="P272" s="18" t="s">
        <v>1982</v>
      </c>
      <c r="Q272" s="18" t="s">
        <v>1983</v>
      </c>
      <c r="R272" s="18"/>
      <c r="S272" s="18" t="s">
        <v>83</v>
      </c>
      <c r="T272" s="18" t="s">
        <v>63</v>
      </c>
      <c r="U272" s="18">
        <v>2000</v>
      </c>
      <c r="V272" s="30" t="s">
        <v>1984</v>
      </c>
      <c r="W272" s="18" t="s">
        <v>1985</v>
      </c>
      <c r="X272" s="26" t="s">
        <v>1986</v>
      </c>
      <c r="Y272" s="18" t="s">
        <v>1979</v>
      </c>
      <c r="Z272" s="18" t="s">
        <v>85</v>
      </c>
      <c r="AA272" s="18">
        <v>49636841453</v>
      </c>
      <c r="AB272" s="18">
        <v>636841453</v>
      </c>
      <c r="AC272" s="18" t="s">
        <v>1987</v>
      </c>
    </row>
    <row r="273" spans="1:29" ht="90" customHeight="1" x14ac:dyDescent="0.3">
      <c r="A273" s="16" t="s">
        <v>42</v>
      </c>
      <c r="B273" s="16" t="s">
        <v>42</v>
      </c>
      <c r="C273" s="16" t="s">
        <v>42</v>
      </c>
      <c r="D273" s="16" t="s">
        <v>42</v>
      </c>
      <c r="E273" s="16" t="s">
        <v>42</v>
      </c>
      <c r="F273" s="16" t="s">
        <v>42</v>
      </c>
      <c r="G273" s="16" t="s">
        <v>42</v>
      </c>
      <c r="H273" s="15" t="s">
        <v>41</v>
      </c>
      <c r="I273" s="16" t="s">
        <v>42</v>
      </c>
      <c r="J273" s="16" t="s">
        <v>42</v>
      </c>
      <c r="K273" s="16" t="s">
        <v>42</v>
      </c>
      <c r="L273" s="17" t="s">
        <v>1988</v>
      </c>
      <c r="M273" s="18" t="s">
        <v>1989</v>
      </c>
      <c r="N273" s="26" t="s">
        <v>1990</v>
      </c>
      <c r="O273" s="18" t="s">
        <v>1991</v>
      </c>
      <c r="P273" s="18" t="s">
        <v>1059</v>
      </c>
      <c r="Q273" s="18" t="s">
        <v>1992</v>
      </c>
      <c r="R273" s="18" t="s">
        <v>1993</v>
      </c>
      <c r="S273" s="18" t="s">
        <v>1994</v>
      </c>
      <c r="T273" s="18" t="s">
        <v>634</v>
      </c>
      <c r="U273" s="18">
        <v>3065</v>
      </c>
      <c r="V273" s="30" t="s">
        <v>1995</v>
      </c>
      <c r="W273" s="18"/>
      <c r="X273" s="26" t="s">
        <v>1996</v>
      </c>
      <c r="Y273" s="18"/>
      <c r="Z273" s="18" t="s">
        <v>123</v>
      </c>
      <c r="AA273" s="18">
        <v>96005624868</v>
      </c>
      <c r="AB273" s="30" t="s">
        <v>1997</v>
      </c>
      <c r="AC273" s="18" t="s">
        <v>1998</v>
      </c>
    </row>
    <row r="274" spans="1:29" ht="90" customHeight="1" x14ac:dyDescent="0.3">
      <c r="A274" s="16" t="s">
        <v>42</v>
      </c>
      <c r="B274" s="16" t="s">
        <v>42</v>
      </c>
      <c r="C274" s="16" t="s">
        <v>42</v>
      </c>
      <c r="D274" s="16" t="s">
        <v>42</v>
      </c>
      <c r="E274" s="16" t="s">
        <v>42</v>
      </c>
      <c r="F274" s="16" t="s">
        <v>42</v>
      </c>
      <c r="G274" s="16" t="s">
        <v>42</v>
      </c>
      <c r="H274" s="15" t="s">
        <v>41</v>
      </c>
      <c r="I274" s="16" t="s">
        <v>42</v>
      </c>
      <c r="J274" s="16" t="s">
        <v>42</v>
      </c>
      <c r="K274" s="16" t="s">
        <v>42</v>
      </c>
      <c r="L274" s="17" t="s">
        <v>1999</v>
      </c>
      <c r="M274" s="18" t="s">
        <v>1999</v>
      </c>
      <c r="N274" s="26" t="s">
        <v>2000</v>
      </c>
      <c r="O274" s="18" t="s">
        <v>2001</v>
      </c>
      <c r="P274" s="18" t="s">
        <v>2002</v>
      </c>
      <c r="Q274" s="18" t="s">
        <v>498</v>
      </c>
      <c r="R274" s="18" t="s">
        <v>2003</v>
      </c>
      <c r="S274" s="18" t="s">
        <v>83</v>
      </c>
      <c r="T274" s="18" t="s">
        <v>63</v>
      </c>
      <c r="U274" s="18" t="str">
        <f>"2000"</f>
        <v>2000</v>
      </c>
      <c r="V274" s="18" t="str">
        <f>"+612 9299 0401"</f>
        <v>+612 9299 0401</v>
      </c>
      <c r="W274" s="18" t="str">
        <f>""</f>
        <v/>
      </c>
      <c r="X274" s="26" t="s">
        <v>2004</v>
      </c>
      <c r="Y274" s="18"/>
      <c r="Z274" s="18" t="s">
        <v>123</v>
      </c>
      <c r="AA274" s="18">
        <v>25082956929</v>
      </c>
      <c r="AB274" s="18">
        <v>82956929</v>
      </c>
      <c r="AC274" s="18" t="s">
        <v>2005</v>
      </c>
    </row>
    <row r="275" spans="1:29" ht="90" customHeight="1" x14ac:dyDescent="0.3">
      <c r="A275" s="16" t="s">
        <v>42</v>
      </c>
      <c r="B275" s="16" t="s">
        <v>42</v>
      </c>
      <c r="C275" s="16" t="s">
        <v>42</v>
      </c>
      <c r="D275" s="16" t="s">
        <v>42</v>
      </c>
      <c r="E275" s="16" t="s">
        <v>42</v>
      </c>
      <c r="F275" s="16" t="s">
        <v>42</v>
      </c>
      <c r="G275" s="16" t="s">
        <v>42</v>
      </c>
      <c r="H275" s="15" t="s">
        <v>41</v>
      </c>
      <c r="I275" s="16" t="s">
        <v>42</v>
      </c>
      <c r="J275" s="16" t="s">
        <v>42</v>
      </c>
      <c r="K275" s="16" t="s">
        <v>42</v>
      </c>
      <c r="L275" s="17" t="s">
        <v>2006</v>
      </c>
      <c r="M275" s="18" t="s">
        <v>2007</v>
      </c>
      <c r="N275" s="26" t="s">
        <v>2008</v>
      </c>
      <c r="O275" s="18" t="s">
        <v>2009</v>
      </c>
      <c r="P275" s="18" t="s">
        <v>2010</v>
      </c>
      <c r="Q275" s="18" t="s">
        <v>498</v>
      </c>
      <c r="R275" s="18" t="s">
        <v>2011</v>
      </c>
      <c r="S275" s="18" t="s">
        <v>83</v>
      </c>
      <c r="T275" s="18" t="s">
        <v>63</v>
      </c>
      <c r="U275" s="18" t="str">
        <f>"2000"</f>
        <v>2000</v>
      </c>
      <c r="V275" s="18" t="str">
        <f>"+61 2 9249 2500"</f>
        <v>+61 2 9249 2500</v>
      </c>
      <c r="W275" s="18" t="str">
        <f>""</f>
        <v/>
      </c>
      <c r="X275" s="26" t="s">
        <v>2012</v>
      </c>
      <c r="Y275" s="18" t="s">
        <v>2013</v>
      </c>
      <c r="Z275" s="18" t="s">
        <v>85</v>
      </c>
      <c r="AA275" s="18">
        <v>41007762174</v>
      </c>
      <c r="AB275" s="18">
        <v>7762174</v>
      </c>
      <c r="AC275" s="18" t="s">
        <v>2014</v>
      </c>
    </row>
    <row r="276" spans="1:29" ht="90" customHeight="1" x14ac:dyDescent="0.3">
      <c r="A276" s="16" t="s">
        <v>42</v>
      </c>
      <c r="B276" s="16" t="s">
        <v>42</v>
      </c>
      <c r="C276" s="16" t="s">
        <v>42</v>
      </c>
      <c r="D276" s="16" t="s">
        <v>42</v>
      </c>
      <c r="E276" s="16" t="s">
        <v>42</v>
      </c>
      <c r="F276" s="16" t="s">
        <v>42</v>
      </c>
      <c r="G276" s="16" t="s">
        <v>42</v>
      </c>
      <c r="H276" s="15" t="s">
        <v>41</v>
      </c>
      <c r="I276" s="16" t="s">
        <v>42</v>
      </c>
      <c r="J276" s="16" t="s">
        <v>42</v>
      </c>
      <c r="K276" s="16" t="s">
        <v>42</v>
      </c>
      <c r="L276" s="17" t="s">
        <v>2015</v>
      </c>
      <c r="M276" s="18" t="s">
        <v>2016</v>
      </c>
      <c r="N276" s="26" t="s">
        <v>2017</v>
      </c>
      <c r="O276" s="18" t="s">
        <v>2018</v>
      </c>
      <c r="P276" s="18" t="s">
        <v>189</v>
      </c>
      <c r="Q276" s="18" t="s">
        <v>2019</v>
      </c>
      <c r="R276" s="18"/>
      <c r="S276" s="18" t="s">
        <v>2020</v>
      </c>
      <c r="T276" s="18" t="s">
        <v>63</v>
      </c>
      <c r="U276" s="18" t="str">
        <f>"2250"</f>
        <v>2250</v>
      </c>
      <c r="V276" s="18" t="str">
        <f>"0243210503"</f>
        <v>0243210503</v>
      </c>
      <c r="W276" s="18" t="str">
        <f>"0414477906"</f>
        <v>0414477906</v>
      </c>
      <c r="X276" s="26" t="s">
        <v>2021</v>
      </c>
      <c r="Y276" s="18" t="s">
        <v>2022</v>
      </c>
      <c r="Z276" s="18" t="s">
        <v>123</v>
      </c>
      <c r="AA276" s="18">
        <v>12129231269</v>
      </c>
      <c r="AB276" s="18">
        <v>129231269</v>
      </c>
      <c r="AC276" s="18" t="s">
        <v>2023</v>
      </c>
    </row>
    <row r="277" spans="1:29" ht="90" customHeight="1" x14ac:dyDescent="0.3">
      <c r="A277" s="16" t="s">
        <v>42</v>
      </c>
      <c r="B277" s="16" t="s">
        <v>42</v>
      </c>
      <c r="C277" s="16" t="s">
        <v>42</v>
      </c>
      <c r="D277" s="16" t="s">
        <v>42</v>
      </c>
      <c r="E277" s="16" t="s">
        <v>42</v>
      </c>
      <c r="F277" s="16" t="s">
        <v>42</v>
      </c>
      <c r="G277" s="16" t="s">
        <v>42</v>
      </c>
      <c r="H277" s="16" t="s">
        <v>42</v>
      </c>
      <c r="I277" s="16" t="s">
        <v>42</v>
      </c>
      <c r="J277" s="16" t="s">
        <v>42</v>
      </c>
      <c r="K277" s="15" t="s">
        <v>41</v>
      </c>
      <c r="L277" s="17" t="s">
        <v>2024</v>
      </c>
      <c r="M277" s="18" t="s">
        <v>2024</v>
      </c>
      <c r="N277" s="26" t="s">
        <v>2025</v>
      </c>
      <c r="O277" s="18" t="s">
        <v>2026</v>
      </c>
      <c r="P277" s="18" t="s">
        <v>60</v>
      </c>
      <c r="Q277" s="18" t="s">
        <v>2027</v>
      </c>
      <c r="R277" s="18" t="s">
        <v>2028</v>
      </c>
      <c r="S277" s="18" t="s">
        <v>2029</v>
      </c>
      <c r="T277" s="18" t="s">
        <v>63</v>
      </c>
      <c r="U277" s="18" t="str">
        <f>"2017"</f>
        <v>2017</v>
      </c>
      <c r="V277" s="18" t="str">
        <f>"02 9518 0124"</f>
        <v>02 9518 0124</v>
      </c>
      <c r="W277" s="18" t="str">
        <f>"0420 551 988"</f>
        <v>0420 551 988</v>
      </c>
      <c r="X277" s="26" t="s">
        <v>2030</v>
      </c>
      <c r="Y277" s="18"/>
      <c r="Z277" s="18" t="s">
        <v>54</v>
      </c>
      <c r="AA277" s="18">
        <v>87168847167</v>
      </c>
      <c r="AB277" s="18">
        <v>168847167</v>
      </c>
      <c r="AC277" s="18" t="s">
        <v>2031</v>
      </c>
    </row>
    <row r="278" spans="1:29" x14ac:dyDescent="0.55000000000000004">
      <c r="N278" s="29"/>
    </row>
  </sheetData>
  <autoFilter ref="A8:AC278" xr:uid="{5265698C-A0E8-4F29-98E6-C9F7D8D34EDB}">
    <sortState xmlns:xlrd2="http://schemas.microsoft.com/office/spreadsheetml/2017/richdata2" ref="A11:AC277">
      <sortCondition ref="L8:L277"/>
    </sortState>
  </autoFilter>
  <sortState xmlns:xlrd2="http://schemas.microsoft.com/office/spreadsheetml/2017/richdata2" ref="A9:AC277">
    <sortCondition ref="L9"/>
  </sortState>
  <mergeCells count="7">
    <mergeCell ref="L6:O7"/>
    <mergeCell ref="P6:AC7"/>
    <mergeCell ref="A7:G7"/>
    <mergeCell ref="H7:K7"/>
    <mergeCell ref="A3:B3"/>
    <mergeCell ref="A4:B4"/>
    <mergeCell ref="A6:K6"/>
  </mergeCells>
  <phoneticPr fontId="19" type="noConversion"/>
  <hyperlinks>
    <hyperlink ref="N61" r:id="rId1" xr:uid="{FBF70EBE-1DA6-45A5-9D5B-337B896613A1}"/>
    <hyperlink ref="N9" r:id="rId2" xr:uid="{D037CA0D-609C-43F4-BE87-C78BEFB6E43E}"/>
    <hyperlink ref="N265" r:id="rId3" xr:uid="{67D42474-6C8A-4A65-A926-676ACA98E6C3}"/>
    <hyperlink ref="N203" r:id="rId4" xr:uid="{F982341E-1E1A-4B88-9B17-4CE1D74AE716}"/>
    <hyperlink ref="N111" r:id="rId5" xr:uid="{BB495F02-225A-431F-9BC9-488244800B1B}"/>
    <hyperlink ref="N132" r:id="rId6" xr:uid="{D971E8A0-3602-4FCE-8D16-5EFDA8EBBF9F}"/>
    <hyperlink ref="N11" r:id="rId7" xr:uid="{A568EDED-2CA2-4689-B00C-458BED045BB8}"/>
    <hyperlink ref="N12" r:id="rId8" xr:uid="{75398386-3197-4006-884A-3959AD6DFF9B}"/>
    <hyperlink ref="N13" r:id="rId9" xr:uid="{C1C749DB-5FCF-4D41-BA58-55501B4B1BE2}"/>
    <hyperlink ref="N14" r:id="rId10" xr:uid="{FEE74191-2723-4ABA-965D-493937A62B0C}"/>
    <hyperlink ref="N15" r:id="rId11" xr:uid="{3F30DEA9-2B6D-4FBE-9A07-5DCB4DB5BB56}"/>
    <hyperlink ref="N16" r:id="rId12" xr:uid="{37B23CA9-EF13-4F56-B52C-120ACBFE42B8}"/>
    <hyperlink ref="N17" r:id="rId13" xr:uid="{4342C91F-B584-42F4-82F8-AAA1614B04BB}"/>
    <hyperlink ref="N18" r:id="rId14" xr:uid="{2FD0509E-7765-4C01-957C-A1A9B4CDC5A7}"/>
    <hyperlink ref="N19" r:id="rId15" xr:uid="{CB7CCDCB-3868-45B9-8164-B7030EDD4B76}"/>
    <hyperlink ref="N20" r:id="rId16" xr:uid="{50043741-5616-4867-8B69-4092A9DDD93F}"/>
    <hyperlink ref="N21" r:id="rId17" xr:uid="{98C12910-4B77-49E7-A214-5877B6EFBB14}"/>
    <hyperlink ref="N22" r:id="rId18" xr:uid="{07CB9012-3EE5-4B59-BF24-E7036E21653A}"/>
    <hyperlink ref="N24" r:id="rId19" xr:uid="{A2E3FD46-D226-4EB2-85FA-6106EDF7A56E}"/>
    <hyperlink ref="N26" r:id="rId20" xr:uid="{C899DDE3-40C2-4683-A2D0-C5EC14D77EDC}"/>
    <hyperlink ref="N27" r:id="rId21" xr:uid="{135F07D9-746E-4183-B268-A5CF85DC1318}"/>
    <hyperlink ref="N28" r:id="rId22" xr:uid="{FB0A0CBE-2FB9-431B-A2C3-6437A3022117}"/>
    <hyperlink ref="N29" r:id="rId23" xr:uid="{D2902863-7DCE-458C-8C96-E1C8359C79A5}"/>
    <hyperlink ref="N30" r:id="rId24" xr:uid="{452838E5-20CD-4F74-B6B0-17D91B96E12A}"/>
    <hyperlink ref="N31" r:id="rId25" xr:uid="{DAE792AD-9AB9-4110-BA0B-9DBA19D64230}"/>
    <hyperlink ref="N32" r:id="rId26" xr:uid="{F8759691-B92F-445B-A84A-575EF231E7BA}"/>
    <hyperlink ref="N33" r:id="rId27" xr:uid="{B51DD649-3A96-48E3-8E83-6014E33A60B5}"/>
    <hyperlink ref="N34" r:id="rId28" xr:uid="{C4CE6D7F-4301-4CA4-8826-D7F56E69EBFB}"/>
    <hyperlink ref="N37" r:id="rId29" xr:uid="{264A6291-E376-4C23-A001-5FDFA985BB01}"/>
    <hyperlink ref="N38" r:id="rId30" xr:uid="{1E5993F9-F097-4298-AB1F-1EA0887A8AE4}"/>
    <hyperlink ref="N40" r:id="rId31" xr:uid="{833DE2B3-7427-49D9-9740-C10BCC461635}"/>
    <hyperlink ref="N41" r:id="rId32" xr:uid="{EEC537D2-4DB3-40E9-9C2B-DA2415D0E521}"/>
    <hyperlink ref="N43" r:id="rId33" xr:uid="{0308775E-B5D0-42CD-B383-425931645DA5}"/>
    <hyperlink ref="N44" r:id="rId34" xr:uid="{D1C5C968-2E5B-4B12-ABD3-D4BAE1757799}"/>
    <hyperlink ref="N45" r:id="rId35" xr:uid="{14B6D2A4-8828-44B5-A619-B09438657FD0}"/>
    <hyperlink ref="N46" r:id="rId36" xr:uid="{2306E9D0-F1D9-44ED-AC21-021CED9BAE32}"/>
    <hyperlink ref="N47" r:id="rId37" xr:uid="{FC1F3318-0A20-4C3A-8DAF-84A98B8DE7FB}"/>
    <hyperlink ref="N49" r:id="rId38" xr:uid="{28BF64EF-3636-4E8A-8A71-9B1682EB2E0A}"/>
    <hyperlink ref="N50" r:id="rId39" xr:uid="{BCEB8021-554C-4409-8E6E-C646D2C74D39}"/>
    <hyperlink ref="N51" r:id="rId40" xr:uid="{C3441468-5EB3-49DD-ADBA-9644BE83DCFA}"/>
    <hyperlink ref="N52" r:id="rId41" xr:uid="{8E857BC4-397B-468B-9A6F-DF40D9F683A9}"/>
    <hyperlink ref="N53" r:id="rId42" xr:uid="{67BD7279-9464-4F7C-89F5-0AB73C73D69C}"/>
    <hyperlink ref="N54" r:id="rId43" xr:uid="{164C034A-F05C-4529-9F89-D6D5D0109F06}"/>
    <hyperlink ref="N55" r:id="rId44" xr:uid="{4AD4C9BC-88BC-4A55-99A4-3DC49CB34C94}"/>
    <hyperlink ref="N56" r:id="rId45" xr:uid="{D6DAC552-BC8F-494B-A731-82196CAA9449}"/>
    <hyperlink ref="N57" r:id="rId46" xr:uid="{75A2414D-3432-4AD6-93CA-71419E9FA27E}"/>
    <hyperlink ref="N59" r:id="rId47" xr:uid="{B3D13D9C-8DE0-4FFF-9743-260DA1AD9BD8}"/>
    <hyperlink ref="N60" r:id="rId48" xr:uid="{DF2B9220-F7D3-4803-84C3-6EDAA970F010}"/>
    <hyperlink ref="N62" r:id="rId49" xr:uid="{2CCCCCC4-B905-40F0-A7E9-FD237ABBB65D}"/>
    <hyperlink ref="N63" r:id="rId50" xr:uid="{601911C9-4722-45CE-B132-FFCA6001AD93}"/>
    <hyperlink ref="N64" r:id="rId51" xr:uid="{E8722CF3-1509-4C97-B4C8-281FE3B1619C}"/>
    <hyperlink ref="N66" r:id="rId52" xr:uid="{4F4141FA-8B6B-43A5-9776-CBC544D7414E}"/>
    <hyperlink ref="N67" r:id="rId53" xr:uid="{D81654C2-8675-41E0-874E-E96F6F13D837}"/>
    <hyperlink ref="N68" r:id="rId54" xr:uid="{3927296A-E91E-4D83-AB52-20EB6E42D96F}"/>
    <hyperlink ref="N69" r:id="rId55" xr:uid="{2C664AD5-1AA6-47CE-91C1-A4F454BB678D}"/>
    <hyperlink ref="N70" r:id="rId56" xr:uid="{4B805F20-213D-4377-8B79-6EF12AD4021C}"/>
    <hyperlink ref="N71" r:id="rId57" xr:uid="{8B5654EA-C398-461A-82EC-AB2944D03B57}"/>
    <hyperlink ref="N72" r:id="rId58" xr:uid="{0CFCCDA5-6FD5-426D-ADBE-45227C54AEA8}"/>
    <hyperlink ref="N73" r:id="rId59" xr:uid="{2AA86BA8-93E9-40EB-AB47-4DF9E96C1305}"/>
    <hyperlink ref="N74" r:id="rId60" xr:uid="{E34A61C4-E1D4-4DE0-913A-84576A1ACD91}"/>
    <hyperlink ref="N75" r:id="rId61" xr:uid="{8C6E9AF0-740D-4450-BFA5-B5CB5633E255}"/>
    <hyperlink ref="N76" r:id="rId62" xr:uid="{8E0943D6-A2C5-47CC-AD2B-392673C9237C}"/>
    <hyperlink ref="N78" r:id="rId63" xr:uid="{3DCA61A8-F000-41AC-8BFC-2570335F7628}"/>
    <hyperlink ref="N79" r:id="rId64" xr:uid="{7CFDF703-E123-49DF-A620-073B2AB1271E}"/>
    <hyperlink ref="N80" r:id="rId65" xr:uid="{6C394B69-6EDC-4E7C-990E-FEB1FDE73177}"/>
    <hyperlink ref="N81" r:id="rId66" xr:uid="{2FB220CD-E076-444D-BE6D-020D831013DC}"/>
    <hyperlink ref="N82" r:id="rId67" xr:uid="{F2381D9E-F581-4654-A1B8-AEB92BBA5516}"/>
    <hyperlink ref="N83" r:id="rId68" xr:uid="{30353A06-67E6-451C-851F-C1659E262C4B}"/>
    <hyperlink ref="N86" r:id="rId69" xr:uid="{46B1A8CB-B665-4E39-A294-3D1B0D2A994F}"/>
    <hyperlink ref="N87" r:id="rId70" xr:uid="{E1524FA6-3D3F-4A4E-9B11-6E80500EB20D}"/>
    <hyperlink ref="N88" r:id="rId71" xr:uid="{23FBF9D3-F9EA-4F54-A24B-19CA64C478EB}"/>
    <hyperlink ref="N89" r:id="rId72" xr:uid="{62F8AE87-BE46-4714-A38F-874482ED7CD6}"/>
    <hyperlink ref="N90" r:id="rId73" xr:uid="{9F1E86FB-158D-4092-A086-5352DD105D7B}"/>
    <hyperlink ref="N91" r:id="rId74" xr:uid="{A0C4E618-7123-4951-BBF8-E4AE5D997304}"/>
    <hyperlink ref="N92" r:id="rId75" xr:uid="{A0025D72-7120-44DF-BAA2-3B012CC2E622}"/>
    <hyperlink ref="N93" r:id="rId76" xr:uid="{33FF82FE-87DC-4C7F-99AD-8D023B74F48A}"/>
    <hyperlink ref="N94" r:id="rId77" xr:uid="{D1BD2CE1-9684-490C-9639-CE4C650F49D8}"/>
    <hyperlink ref="N97" r:id="rId78" xr:uid="{8034536A-4A5C-46AB-AE52-D317EDB6D760}"/>
    <hyperlink ref="N98" r:id="rId79" xr:uid="{EFA0F5B3-BFBC-43F5-A6E1-742F07946F3C}"/>
    <hyperlink ref="N100" r:id="rId80" xr:uid="{FD4E420F-F8DC-48DB-865D-505FDAA1DB7B}"/>
    <hyperlink ref="N101" r:id="rId81" xr:uid="{F8F190DD-DD7E-425E-A976-C3AC1A38F5B0}"/>
    <hyperlink ref="N102" r:id="rId82" xr:uid="{B3563D9A-4164-4DD4-A2CE-388344163B80}"/>
    <hyperlink ref="N103" r:id="rId83" xr:uid="{62E7599A-C17D-4263-9D34-513E13F3B179}"/>
    <hyperlink ref="N104" r:id="rId84" xr:uid="{58F2C27A-2B59-4A5B-898F-D07E051C4ED2}"/>
    <hyperlink ref="N105" r:id="rId85" xr:uid="{E8DD9787-3366-49B0-8FB0-7EB4A3975357}"/>
    <hyperlink ref="N106" r:id="rId86" xr:uid="{082BBF41-C2DC-468F-9F37-A82034D0ACFE}"/>
    <hyperlink ref="N107" r:id="rId87" xr:uid="{31861EB8-0B98-4534-9047-E106E6C7A474}"/>
    <hyperlink ref="N109" r:id="rId88" xr:uid="{DF20F9B1-EFCC-4CBC-B879-6F479721B835}"/>
    <hyperlink ref="N110" r:id="rId89" xr:uid="{A223A5E2-6D64-44E7-9672-C6B971E71846}"/>
    <hyperlink ref="N112" r:id="rId90" xr:uid="{0BD35423-F87E-48DE-841A-B55A44E11AF2}"/>
    <hyperlink ref="N113" r:id="rId91" xr:uid="{380DA8D7-DEAB-416A-A648-BC58F2B80C04}"/>
    <hyperlink ref="N115" r:id="rId92" xr:uid="{C3F797BD-368B-494B-9CD4-E900E542978E}"/>
    <hyperlink ref="N117" r:id="rId93" xr:uid="{927AB2D2-FEEA-4685-8C42-C95877A91B0B}"/>
    <hyperlink ref="N118" r:id="rId94" xr:uid="{D0D86326-0C9F-492B-9F6C-1687F8F1D83F}"/>
    <hyperlink ref="N119" r:id="rId95" xr:uid="{C4E8DFBE-6B38-48F9-A1F1-0BD102CA9A26}"/>
    <hyperlink ref="N120" r:id="rId96" xr:uid="{3306816D-EDD8-44B9-99A5-806DD2F34A45}"/>
    <hyperlink ref="N121" r:id="rId97" xr:uid="{51CC3021-5701-45DD-B4FD-0C378BB4CDB8}"/>
    <hyperlink ref="N122" r:id="rId98" xr:uid="{B73C0C41-D012-4E79-A78A-DB9620FC6809}"/>
    <hyperlink ref="N123" r:id="rId99" xr:uid="{C39757BD-8B64-41D4-A66B-FB394A3631A7}"/>
    <hyperlink ref="N124" r:id="rId100" xr:uid="{60C32E33-4EB0-4BA3-BA69-66420A30FD8B}"/>
    <hyperlink ref="N125" r:id="rId101" xr:uid="{A3C3AEA5-6775-47CA-96DE-52E77A0D461D}"/>
    <hyperlink ref="N126" r:id="rId102" xr:uid="{155A6CC0-8AD7-4044-BA66-897D47E8A3CD}"/>
    <hyperlink ref="N128" r:id="rId103" xr:uid="{57DBADD5-326B-40E6-AD2E-EAC80A423DD2}"/>
    <hyperlink ref="N129" r:id="rId104" xr:uid="{57B1B145-E574-4876-A044-FB289E27E053}"/>
    <hyperlink ref="N133" r:id="rId105" xr:uid="{22C40862-00B0-4CAF-AE60-72A609D3D16E}"/>
    <hyperlink ref="N134" r:id="rId106" xr:uid="{2CB6C5AC-CC5B-495B-BE1F-BBB7A2E3D40C}"/>
    <hyperlink ref="N135" r:id="rId107" xr:uid="{EC28DCC0-9461-42CF-89DD-2849CD70F20E}"/>
    <hyperlink ref="N137" r:id="rId108" xr:uid="{AF8A32D1-8E5C-4264-886C-4C2E383A1E1C}"/>
    <hyperlink ref="N138" r:id="rId109" xr:uid="{354AEE42-5C73-4DD9-8225-8A7E5309D57D}"/>
    <hyperlink ref="N139" r:id="rId110" xr:uid="{49F59DF8-6F21-4466-AD7A-E737F309195C}"/>
    <hyperlink ref="N140" r:id="rId111" xr:uid="{31F031B8-98C6-452C-B17D-E79F11E0B000}"/>
    <hyperlink ref="N141" r:id="rId112" xr:uid="{17A94D99-0427-4D75-A03F-E798777D201C}"/>
    <hyperlink ref="N142" r:id="rId113" xr:uid="{22225037-C4F3-4C83-B550-CBE84ECF4E2A}"/>
    <hyperlink ref="N143" r:id="rId114" xr:uid="{667ADE68-0C9A-48E8-9F49-03130467286C}"/>
    <hyperlink ref="N144" r:id="rId115" xr:uid="{A82C418A-6CDA-415D-AA48-8E6675D5095B}"/>
    <hyperlink ref="N145" r:id="rId116" xr:uid="{1D0EA6EA-7665-4A89-8890-789280D14FB5}"/>
    <hyperlink ref="N146" r:id="rId117" xr:uid="{4BDE1434-5B03-4CEF-9697-BF31F7F5C0B1}"/>
    <hyperlink ref="N148" r:id="rId118" xr:uid="{9548D0A9-5B75-480D-888B-D948413B37B4}"/>
    <hyperlink ref="N149" r:id="rId119" xr:uid="{C9043EAC-61D6-4B3C-B854-736B35235E12}"/>
    <hyperlink ref="N150" r:id="rId120" xr:uid="{D5501538-2119-43F1-BB11-A960463B7C31}"/>
    <hyperlink ref="N151" r:id="rId121" xr:uid="{3D689F00-B036-4171-AC09-8F7E5A549905}"/>
    <hyperlink ref="N152" r:id="rId122" xr:uid="{4837B860-A366-4F3A-A348-7D6A0EF228A9}"/>
    <hyperlink ref="N154" r:id="rId123" xr:uid="{E2FE27B7-007F-4043-B08F-3611BF3D774A}"/>
    <hyperlink ref="N155" r:id="rId124" xr:uid="{1C698E14-8D02-4415-BFD5-8AAB6BC8C26E}"/>
    <hyperlink ref="N156" r:id="rId125" xr:uid="{EF051E4C-E324-44DF-9689-DB826500D7F9}"/>
    <hyperlink ref="N157" r:id="rId126" xr:uid="{D87DA491-DB16-4045-B93D-BE4AE4DA3BB3}"/>
    <hyperlink ref="N158" r:id="rId127" xr:uid="{751A506B-AC58-45C6-878D-74CCF1379FD5}"/>
    <hyperlink ref="N159" r:id="rId128" xr:uid="{EEB3F940-1819-4B18-A9AA-30F2AAF286B4}"/>
    <hyperlink ref="N160" r:id="rId129" xr:uid="{013F7638-1657-4E4D-AD45-913B43BDFFDE}"/>
    <hyperlink ref="N161" r:id="rId130" xr:uid="{F78D09FA-65F4-4AC6-B9F9-36B502AD3397}"/>
    <hyperlink ref="N162" r:id="rId131" xr:uid="{AF57327A-A3FE-4A6D-908C-81C0FA4200A9}"/>
    <hyperlink ref="N163" r:id="rId132" xr:uid="{4E1682C2-FB3A-47FD-8D70-F1AA2FFA69D0}"/>
    <hyperlink ref="N164" r:id="rId133" xr:uid="{7580BEF7-40B6-439B-B15B-E6BA45951D7D}"/>
    <hyperlink ref="N165" r:id="rId134" xr:uid="{E4FD6CCD-C054-41C0-9C6B-BC5C568FF189}"/>
    <hyperlink ref="N167" r:id="rId135" xr:uid="{9CBB776E-12C5-4E08-9726-FDB0B0FAD2F0}"/>
    <hyperlink ref="N170" r:id="rId136" xr:uid="{9E45476B-61E8-4F46-963D-23AE2564FBFA}"/>
    <hyperlink ref="N171" r:id="rId137" xr:uid="{7D12BE67-EB36-4300-98B0-619065BB05F3}"/>
    <hyperlink ref="N172" r:id="rId138" xr:uid="{E2E5F2E3-78E6-4ABB-8015-634867601770}"/>
    <hyperlink ref="N173" r:id="rId139" xr:uid="{11129538-0727-4630-925D-47D1006387F9}"/>
    <hyperlink ref="N174" r:id="rId140" xr:uid="{02AF724B-83E1-4C65-B43A-CB36940E44F6}"/>
    <hyperlink ref="N176" r:id="rId141" xr:uid="{183478A2-B1BC-4014-B48D-FB3101EF3A3B}"/>
    <hyperlink ref="N177" r:id="rId142" xr:uid="{01AE76F2-515C-4869-8AD0-8439B22839B8}"/>
    <hyperlink ref="N178" r:id="rId143" xr:uid="{BD015126-F463-411A-8876-46DEB761132F}"/>
    <hyperlink ref="N179" r:id="rId144" xr:uid="{0E642C74-51A3-4364-A490-1107156AA4EF}"/>
    <hyperlink ref="N180" r:id="rId145" xr:uid="{EEF2085F-C643-4401-A4B9-A42B9E305A5D}"/>
    <hyperlink ref="N181" r:id="rId146" xr:uid="{E12BAB05-E555-4100-8D62-B2A7EFD4B4E9}"/>
    <hyperlink ref="N182" r:id="rId147" xr:uid="{5F5B6F22-4C7F-4634-BE99-7C23E5B6B933}"/>
    <hyperlink ref="N183" r:id="rId148" xr:uid="{E6F0339B-9157-4355-831F-5FBC42347E90}"/>
    <hyperlink ref="N184" r:id="rId149" xr:uid="{28439062-C68A-47BC-974D-F3D76D8EF267}"/>
    <hyperlink ref="N185" r:id="rId150" xr:uid="{23FFF2B7-A732-42B3-9AE5-EE61CB001DF8}"/>
    <hyperlink ref="N186" r:id="rId151" xr:uid="{C0FA360B-D3E4-4605-AC75-B1863B0D603C}"/>
    <hyperlink ref="N187" r:id="rId152" xr:uid="{51F2C5A3-55CA-4DD6-895C-B4A1C9E6333D}"/>
    <hyperlink ref="N188" r:id="rId153" xr:uid="{4133EC9F-39AF-4FEC-958D-D33D88FF3176}"/>
    <hyperlink ref="N189" r:id="rId154" xr:uid="{392C2B7B-BC8F-4DCB-9157-6FF58BDFDA91}"/>
    <hyperlink ref="N190" r:id="rId155" xr:uid="{CC9F1554-C63F-4292-B063-9994DB604EE5}"/>
    <hyperlink ref="N191" r:id="rId156" xr:uid="{AF8EED05-B0C8-4905-AEB7-C03CF9191D7C}"/>
    <hyperlink ref="N192" r:id="rId157" xr:uid="{D272F19C-F6F7-4478-9ECB-74ACBF3430AA}"/>
    <hyperlink ref="N194" r:id="rId158" xr:uid="{1AEE0EC3-F7A5-4E95-806D-273CDBEF11EC}"/>
    <hyperlink ref="N196" r:id="rId159" xr:uid="{A39F428B-468A-4A07-A6ED-66413F012167}"/>
    <hyperlink ref="N197" r:id="rId160" xr:uid="{EE6B50C7-174D-4D14-9466-5404914ACDDC}"/>
    <hyperlink ref="N198" r:id="rId161" xr:uid="{17CB8E52-F3E8-4E33-AC6E-7991856EF197}"/>
    <hyperlink ref="N199" r:id="rId162" xr:uid="{BEBFFB03-D197-416A-93D9-C61B89606B3F}"/>
    <hyperlink ref="N200" r:id="rId163" xr:uid="{915A56C4-F73C-4C2B-9B64-59A25310B3B5}"/>
    <hyperlink ref="N201" r:id="rId164" xr:uid="{87F5C8C7-8931-4F2D-AED1-83898D241A10}"/>
    <hyperlink ref="N202" r:id="rId165" xr:uid="{5F35CBBE-B586-48C9-9AE8-09967E8BDB96}"/>
    <hyperlink ref="N204" r:id="rId166" xr:uid="{5AEBFC48-B036-4064-BEAE-E34F3A5990EE}"/>
    <hyperlink ref="N206" r:id="rId167" xr:uid="{B04900EE-4FF8-41D4-B9FE-FEC60E73AFEE}"/>
    <hyperlink ref="N207" r:id="rId168" xr:uid="{8A8E15A0-489D-46BF-8F33-125495798124}"/>
    <hyperlink ref="N208" r:id="rId169" xr:uid="{91DE57A0-D893-4CB1-B03E-850A84277452}"/>
    <hyperlink ref="N209" r:id="rId170" xr:uid="{91129120-AB70-47C1-A9D8-1B170BBDC998}"/>
    <hyperlink ref="N210" r:id="rId171" xr:uid="{8CB1773E-52C0-451D-8298-EEEE5A03B74A}"/>
    <hyperlink ref="N211" r:id="rId172" xr:uid="{428B6014-98B1-45FB-896C-F986D461F345}"/>
    <hyperlink ref="N212" r:id="rId173" xr:uid="{85A2C21D-3EBF-41D6-9076-8E97D4662610}"/>
    <hyperlink ref="N213" r:id="rId174" xr:uid="{CD17C940-82D8-4EC9-BE23-2B60824AADF9}"/>
    <hyperlink ref="N214" r:id="rId175" xr:uid="{0F075C60-7B9E-4CCC-B820-0143DB3AE880}"/>
    <hyperlink ref="N215" r:id="rId176" xr:uid="{52AC9F2D-9EEC-48FF-93C5-79BC8303AF22}"/>
    <hyperlink ref="N216" r:id="rId177" xr:uid="{2859C5EA-6124-4079-981B-00572574B403}"/>
    <hyperlink ref="N217" r:id="rId178" xr:uid="{5EEA338A-5652-4FB7-B8AD-42374CA67804}"/>
    <hyperlink ref="N218" r:id="rId179" xr:uid="{263FFA75-B37D-48A4-ADF1-EEF190F5F4A1}"/>
    <hyperlink ref="N219" r:id="rId180" xr:uid="{620FA3AD-9E98-4890-BEAA-8C9A1A18AC79}"/>
    <hyperlink ref="N220" r:id="rId181" xr:uid="{18E48631-D1F8-4453-8F84-60B63BA11084}"/>
    <hyperlink ref="N221" r:id="rId182" xr:uid="{A6F22F67-FF98-4D24-875A-8E80E795272E}"/>
    <hyperlink ref="N222" r:id="rId183" xr:uid="{0F83A82C-A103-4CE8-85ED-A364C851B773}"/>
    <hyperlink ref="N223" r:id="rId184" xr:uid="{C8EAAA8D-E1BD-4FFB-9D18-19968280D52C}"/>
    <hyperlink ref="N224" r:id="rId185" xr:uid="{8E96DABE-A778-405E-A46E-617883B86945}"/>
    <hyperlink ref="N225" r:id="rId186" xr:uid="{5ECB38F0-14D4-4144-8056-FCB47520D251}"/>
    <hyperlink ref="N226" r:id="rId187" xr:uid="{B8FF2161-4732-443D-ABCF-EB7220005C71}"/>
    <hyperlink ref="N228" r:id="rId188" xr:uid="{22688413-4868-4C49-93FA-37B7FB435BB3}"/>
    <hyperlink ref="N229" r:id="rId189" xr:uid="{4F5722C5-F4CA-4EAF-B871-E7E7181907EE}"/>
    <hyperlink ref="N230" r:id="rId190" xr:uid="{A00A596A-3045-4DFA-A71F-22F59526C725}"/>
    <hyperlink ref="N231" r:id="rId191" xr:uid="{83D71332-F4EE-43CE-BE20-63FA2A24C5BE}"/>
    <hyperlink ref="N232" r:id="rId192" xr:uid="{5C2C27D1-6531-42B8-9B87-32F3C0B50B3B}"/>
    <hyperlink ref="N233" r:id="rId193" xr:uid="{7F4EC5CF-3F33-418F-BCC5-22EE1346B9C2}"/>
    <hyperlink ref="N235" r:id="rId194" xr:uid="{8F267232-256A-4FB3-B196-6CA8A64CF821}"/>
    <hyperlink ref="N236" r:id="rId195" xr:uid="{77478734-473F-4060-8A08-E7D718CB7B29}"/>
    <hyperlink ref="N238" r:id="rId196" xr:uid="{1D6E97D7-C414-4348-B681-919F68101757}"/>
    <hyperlink ref="N239" r:id="rId197" xr:uid="{E721E692-E7A3-46B7-9E00-5BE049EDF0AF}"/>
    <hyperlink ref="N241" r:id="rId198" xr:uid="{D0CAB1AE-252A-4ABC-8999-92F87A437A24}"/>
    <hyperlink ref="N242" r:id="rId199" xr:uid="{FB0169EE-9E90-443F-A8E6-553574C6DEDF}"/>
    <hyperlink ref="N243" r:id="rId200" xr:uid="{3D7A7121-8C02-4D66-A2F8-8B06F4F42350}"/>
    <hyperlink ref="N246" r:id="rId201" xr:uid="{BD1C3CBF-FF8F-452A-A59D-DABB65D767F0}"/>
    <hyperlink ref="N247" r:id="rId202" xr:uid="{EBF71222-62EF-45B2-B7F3-672F409A4213}"/>
    <hyperlink ref="N248" r:id="rId203" xr:uid="{93775C80-E88C-4956-A9BE-003B85B7EB36}"/>
    <hyperlink ref="N249" r:id="rId204" xr:uid="{24898A01-A260-4166-BD40-56B2E01CFFE5}"/>
    <hyperlink ref="N251" r:id="rId205" xr:uid="{66CFC802-FE1C-4C6A-B33E-EDC408392FE0}"/>
    <hyperlink ref="N252" r:id="rId206" xr:uid="{1562B387-6A85-4E33-88CF-4E6EAE8F7128}"/>
    <hyperlink ref="N253" r:id="rId207" xr:uid="{0EE9A64A-CBCC-40C6-A850-D1FB7BC74A80}"/>
    <hyperlink ref="N255" r:id="rId208" xr:uid="{BD1F9766-DBED-4DDD-B101-544E6A17AA09}"/>
    <hyperlink ref="N256" r:id="rId209" xr:uid="{37D0A663-4B50-49C1-8FD7-A42E7BF38B79}"/>
    <hyperlink ref="N257" r:id="rId210" xr:uid="{EA9C6B3D-7D9D-4DDD-8FFA-A913BA0DA770}"/>
    <hyperlink ref="N258" r:id="rId211" xr:uid="{75758DD1-848E-41F1-9579-0D9F2727700C}"/>
    <hyperlink ref="N260" r:id="rId212" xr:uid="{CF7602D5-9F96-4E20-B098-6DDB45AF5903}"/>
    <hyperlink ref="N261" r:id="rId213" xr:uid="{51F77097-780A-4B6C-B270-81C32BCCC165}"/>
    <hyperlink ref="N262" r:id="rId214" xr:uid="{1B8ABB5E-1120-4F72-BC14-9815CA56D9BC}"/>
    <hyperlink ref="N263" r:id="rId215" xr:uid="{07E163B5-E73F-4483-8688-4777B28290CF}"/>
    <hyperlink ref="N264" r:id="rId216" xr:uid="{9D99C1A7-24D9-4260-AA69-987C94A2495A}"/>
    <hyperlink ref="N266" r:id="rId217" xr:uid="{4FDAE275-38FB-4925-888D-41DF853BF7B8}"/>
    <hyperlink ref="N267" r:id="rId218" xr:uid="{7F5212A2-2F69-4C16-90C6-16F98F6C000A}"/>
    <hyperlink ref="N268" r:id="rId219" xr:uid="{0C04FC0F-7789-4998-9943-74C85EC1C228}"/>
    <hyperlink ref="N270" r:id="rId220" xr:uid="{BAED1A4D-84AF-4E8D-B34E-EF3F4FF06479}"/>
    <hyperlink ref="N271" r:id="rId221" xr:uid="{CA210F6B-191F-4C9D-81B7-FFEDF9865978}"/>
    <hyperlink ref="N274" r:id="rId222" xr:uid="{41829984-AEDC-41B1-BFB5-8042967F7421}"/>
    <hyperlink ref="N275" r:id="rId223" xr:uid="{E6AF45E0-C2BF-4E3B-80C4-06C4175F71F5}"/>
    <hyperlink ref="N276" r:id="rId224" xr:uid="{FBC3FAB9-3C99-4DC0-9154-1510B63EB41F}"/>
    <hyperlink ref="N277" r:id="rId225" xr:uid="{881AA77E-9C5B-4483-9D75-AC8CB76D5FC1}"/>
    <hyperlink ref="N10" r:id="rId226" xr:uid="{9BE6E3CC-FCB4-4304-9B19-8CFEEB37953F}"/>
    <hyperlink ref="X10" r:id="rId227" xr:uid="{D256708B-389F-4749-9BA4-105BDAE3B665}"/>
    <hyperlink ref="X9" r:id="rId228" xr:uid="{36EA48CF-66FE-4E2A-9D6E-9822B38EA799}"/>
    <hyperlink ref="X11" r:id="rId229" xr:uid="{5E7687DE-DACC-4210-B3D2-22ECC0C2EE3A}"/>
    <hyperlink ref="X12" r:id="rId230" xr:uid="{144358FF-EAAC-4333-82B7-DC6E43E3CDFC}"/>
    <hyperlink ref="X13" r:id="rId231" xr:uid="{64DA1F2B-AEED-4828-A7E0-4526FBCF107D}"/>
    <hyperlink ref="X14" r:id="rId232" xr:uid="{837FD824-B8C1-4072-A166-C338FF81E97D}"/>
    <hyperlink ref="X15" r:id="rId233" xr:uid="{5DD186C1-228F-4B29-865B-FB50EC08DEAF}"/>
    <hyperlink ref="X16" r:id="rId234" xr:uid="{95D4E1DE-F84D-40C1-8A8F-27987E692D25}"/>
    <hyperlink ref="X17" r:id="rId235" xr:uid="{38A8E66F-3332-44AB-A0D8-64D50060171B}"/>
    <hyperlink ref="X18" r:id="rId236" xr:uid="{619628C5-8CE6-43C3-A395-9F3B6B024B50}"/>
    <hyperlink ref="X19" r:id="rId237" xr:uid="{FF6D8BF4-EE65-4F92-B750-6572D203A00D}"/>
    <hyperlink ref="X20" r:id="rId238" xr:uid="{E77985E3-16CA-4F6E-A3CD-44DCDDD267B7}"/>
    <hyperlink ref="X21" r:id="rId239" xr:uid="{A5559B86-7620-415C-9178-F29044C9C3DC}"/>
    <hyperlink ref="X22" r:id="rId240" xr:uid="{D5A270F9-76FE-4D32-940D-AAC2053842DA}"/>
    <hyperlink ref="X24" r:id="rId241" xr:uid="{8B4D023E-8D4A-428D-9D52-1CC50A5BCC1F}"/>
    <hyperlink ref="X26" r:id="rId242" xr:uid="{B3B5C016-89B3-4E6D-ADB1-05B3E8816907}"/>
    <hyperlink ref="X27" r:id="rId243" xr:uid="{2661D09E-C460-4A20-B14F-5CB2FED10C1B}"/>
    <hyperlink ref="X28" r:id="rId244" xr:uid="{9E906DFB-6DD0-4902-85A5-44E71DFEA918}"/>
    <hyperlink ref="X29" r:id="rId245" xr:uid="{DED272CE-ACB5-4135-8780-C7228289219B}"/>
    <hyperlink ref="X30" r:id="rId246" xr:uid="{1336EB74-9A38-4FCE-B3BB-BAFBDB0EC1FA}"/>
    <hyperlink ref="X31" r:id="rId247" xr:uid="{B1E348BE-9B60-4D94-9EEC-5F7394208FD7}"/>
    <hyperlink ref="X32" r:id="rId248" xr:uid="{8D06C8F6-A747-45C8-B162-6EF9DA20CDCE}"/>
    <hyperlink ref="X33" r:id="rId249" xr:uid="{DE7D1A52-4AE5-4390-97FC-8E85CD116F71}"/>
    <hyperlink ref="X34" r:id="rId250" xr:uid="{80A093FF-5CAF-4FAE-87E1-DD12AC0C3949}"/>
    <hyperlink ref="X36" r:id="rId251" xr:uid="{41986C9D-CCA4-4983-8C93-697FC740B342}"/>
    <hyperlink ref="X37" r:id="rId252" xr:uid="{5FB1CE94-D603-42D8-8C0C-66D88614B9D3}"/>
    <hyperlink ref="X38" r:id="rId253" xr:uid="{4FC600A6-9FDF-43A1-BC32-2FE1B829C108}"/>
    <hyperlink ref="X40" r:id="rId254" xr:uid="{638287AC-6FDE-4D7F-B907-974A43EE3F5B}"/>
    <hyperlink ref="X41" r:id="rId255" xr:uid="{F33B5BA0-C05C-4D38-A8C3-8E1D018FE6A0}"/>
    <hyperlink ref="X43" r:id="rId256" xr:uid="{9B8E5DA5-2C18-4098-8A43-EDA40091EBF2}"/>
    <hyperlink ref="X44" r:id="rId257" xr:uid="{A5647646-0D5F-4612-8FFD-7DCD914DB9B2}"/>
    <hyperlink ref="X45" r:id="rId258" xr:uid="{64ED2F87-B490-46B4-81D4-FFD640CD8E82}"/>
    <hyperlink ref="X46" r:id="rId259" xr:uid="{4242DD42-139D-4DC6-BDE4-D8A298750193}"/>
    <hyperlink ref="X47" r:id="rId260" xr:uid="{3217E28C-4170-4B96-9FF1-D174997A8E2E}"/>
    <hyperlink ref="X48" r:id="rId261" xr:uid="{39E6EC78-BE7D-45B2-985F-8B0FE0946B15}"/>
    <hyperlink ref="X49" r:id="rId262" xr:uid="{E601F650-98BF-4617-A061-8411BC5B9ADD}"/>
    <hyperlink ref="X50" r:id="rId263" xr:uid="{F83486C7-DCA7-41BF-AEEA-AE63AD2335E1}"/>
    <hyperlink ref="X51" r:id="rId264" xr:uid="{36FD6FF6-488C-446A-8244-15D2A5451526}"/>
    <hyperlink ref="X52" r:id="rId265" xr:uid="{1EB72A5B-43F0-42A8-A34E-FDD32B1DD38D}"/>
    <hyperlink ref="X53" r:id="rId266" xr:uid="{6EAC26F8-BD54-4B5E-86EF-50623D56F0A3}"/>
    <hyperlink ref="X54" r:id="rId267" xr:uid="{568B6341-E566-4B9D-BAF7-434986F9DA5C}"/>
    <hyperlink ref="X55" r:id="rId268" xr:uid="{114DF9F3-686B-4BBB-BB72-ECC3ADF8DC9F}"/>
    <hyperlink ref="X56" r:id="rId269" xr:uid="{E938BB55-1930-4F54-850B-857B62A50335}"/>
    <hyperlink ref="X57" r:id="rId270" xr:uid="{3E682302-2C34-440F-9123-72577398B6F8}"/>
    <hyperlink ref="X58" r:id="rId271" xr:uid="{C3B6CFCB-9B2D-4A46-B478-40AF469ABBE0}"/>
    <hyperlink ref="X59" r:id="rId272" xr:uid="{3A6AFDF5-69FE-4B7D-B44D-F383EA9DDED5}"/>
    <hyperlink ref="X60" r:id="rId273" xr:uid="{08E49735-85C2-41F2-8D8D-B214A7FF915F}"/>
    <hyperlink ref="X61" r:id="rId274" xr:uid="{F60CA2D0-DCDA-4F5F-868A-C5EB70066417}"/>
    <hyperlink ref="X62" r:id="rId275" xr:uid="{ACBD6011-7592-42DF-8DA9-133775C9F49D}"/>
    <hyperlink ref="X63" r:id="rId276" xr:uid="{189ACB23-5573-4810-A93C-1BBDE2EC8D1A}"/>
    <hyperlink ref="X64" r:id="rId277" xr:uid="{CF4E4D82-1E97-47BB-A678-47BF7E6310DA}"/>
    <hyperlink ref="X66" r:id="rId278" xr:uid="{87DB3F06-1169-43EA-88B3-7553046AA39D}"/>
    <hyperlink ref="X67" r:id="rId279" xr:uid="{B6380D19-3917-43D7-AFEB-D3E0CF8E12F4}"/>
    <hyperlink ref="X68" r:id="rId280" xr:uid="{0FC79EC4-2CE4-490C-96B8-32BD65C03687}"/>
    <hyperlink ref="X69" r:id="rId281" xr:uid="{64FA1071-5EE8-40AD-8634-2E2BDDBC972C}"/>
    <hyperlink ref="X70" r:id="rId282" xr:uid="{CF6FD41F-AB16-4282-80EF-680D19ACC394}"/>
    <hyperlink ref="X71" r:id="rId283" xr:uid="{6EA153DA-173A-4A4F-944E-51D38E896E0B}"/>
    <hyperlink ref="X72" r:id="rId284" xr:uid="{C7AF3225-29BC-47A1-B5AB-0E7E73ADEFDA}"/>
    <hyperlink ref="X73" r:id="rId285" xr:uid="{54CF6237-E5D6-4669-9DA6-5F96339BB6FE}"/>
    <hyperlink ref="X74" r:id="rId286" xr:uid="{C46B89D8-6ECB-4B80-8FCD-4BA43AE766AD}"/>
    <hyperlink ref="X75" r:id="rId287" xr:uid="{C2220F6E-A447-45AD-9154-BBF9FA282B41}"/>
    <hyperlink ref="X76" r:id="rId288" xr:uid="{94DE4776-AD7A-4860-AD97-0AF57A3626ED}"/>
    <hyperlink ref="X78" r:id="rId289" xr:uid="{DFD7BA7E-62EE-499C-AE6C-D0297C7D6A13}"/>
    <hyperlink ref="X79" r:id="rId290" xr:uid="{F202DFC9-0986-4EF6-8AD4-B9C5C15DC71C}"/>
    <hyperlink ref="X80" r:id="rId291" xr:uid="{B8085520-9B72-441A-850A-0DF9ED4C33AE}"/>
    <hyperlink ref="X81" r:id="rId292" xr:uid="{08475A75-E0ED-4080-BF62-73F8D979DE55}"/>
    <hyperlink ref="X82" r:id="rId293" xr:uid="{07775438-5975-4643-AB98-0B18A92D82F8}"/>
    <hyperlink ref="X83" r:id="rId294" xr:uid="{912E4374-3927-47AD-896C-08164C464C7F}"/>
    <hyperlink ref="X84" r:id="rId295" xr:uid="{A390FDD3-178A-4F85-A789-45D0F25E14B1}"/>
    <hyperlink ref="X86" r:id="rId296" xr:uid="{4F4ECAAA-A12A-4F0F-B4BF-EB549096AF22}"/>
    <hyperlink ref="X87" r:id="rId297" xr:uid="{0EAAC666-569E-4B2F-8164-EB60B0D6A1D0}"/>
    <hyperlink ref="X88" r:id="rId298" xr:uid="{93D225F2-6213-4C04-98A5-70DBECBAEB29}"/>
    <hyperlink ref="X89" r:id="rId299" xr:uid="{433CF21B-CF15-4349-BD68-7602A9F7CFFC}"/>
    <hyperlink ref="X90" r:id="rId300" xr:uid="{38604F40-4702-4D6D-A480-CB2F830C4B67}"/>
    <hyperlink ref="X91" r:id="rId301" xr:uid="{98E1E711-E678-401C-B4CB-0AA65C099FBB}"/>
    <hyperlink ref="X92" r:id="rId302" xr:uid="{D8895F06-FF3C-45D0-B551-250C9A061B44}"/>
    <hyperlink ref="X93" r:id="rId303" xr:uid="{ADAFA4E9-5657-4781-AA9A-98DC10783E00}"/>
    <hyperlink ref="X94" r:id="rId304" xr:uid="{B4790D95-7E67-43F6-B4C5-EA7041B17202}"/>
    <hyperlink ref="X97" r:id="rId305" xr:uid="{D9A820AF-A990-4731-8EE3-FA070D854D21}"/>
    <hyperlink ref="X98" r:id="rId306" xr:uid="{4D6D574A-1DB0-4F8F-A003-11FD82DC7B0A}"/>
    <hyperlink ref="X100" r:id="rId307" xr:uid="{DE8C4A38-886C-4C10-B1EA-2559696662AA}"/>
    <hyperlink ref="X101" r:id="rId308" xr:uid="{D375153D-0D1D-4B31-AAA1-23AEA1CE02C4}"/>
    <hyperlink ref="X102" r:id="rId309" xr:uid="{98F5255F-9172-44FA-8E33-B0C2F2AD9726}"/>
    <hyperlink ref="X103" r:id="rId310" xr:uid="{6CCD8D25-EF09-4340-B48F-90B6BC7A27A5}"/>
    <hyperlink ref="X104" r:id="rId311" xr:uid="{8742AC8D-E04A-4913-A88E-27F3FEE11161}"/>
    <hyperlink ref="X105" r:id="rId312" xr:uid="{271F7A66-1726-44CA-8F29-DA3C85ED1B2F}"/>
    <hyperlink ref="X106" r:id="rId313" xr:uid="{71B9EC3C-D450-4282-8B28-07415C09F193}"/>
    <hyperlink ref="X107" r:id="rId314" xr:uid="{C48AA94C-BCDB-44F8-B5EA-EBBAE493EE46}"/>
    <hyperlink ref="X109" r:id="rId315" xr:uid="{70A96BE2-2E18-4018-A28D-4940AD885EDD}"/>
    <hyperlink ref="X110" r:id="rId316" xr:uid="{85CA0F75-AA07-4210-8BB5-5916CB1C557E}"/>
    <hyperlink ref="X111" r:id="rId317" xr:uid="{5509DD04-AE33-48DF-9051-F031CD0B40AD}"/>
    <hyperlink ref="X112" r:id="rId318" xr:uid="{8B8A547A-AC5A-4DFE-9C29-DE7F728EFBB3}"/>
    <hyperlink ref="X113" r:id="rId319" xr:uid="{9BCB2786-0227-418E-8E4E-1D1D8E584802}"/>
    <hyperlink ref="X114" r:id="rId320" xr:uid="{83546DC9-135D-4471-B52D-4ED41784FB89}"/>
    <hyperlink ref="X115" r:id="rId321" xr:uid="{E186CA47-21D4-424D-8D50-EFA2999C39D2}"/>
    <hyperlink ref="X117" r:id="rId322" xr:uid="{D3705EC5-3663-4BE0-A505-F7D0ACFBCAF0}"/>
    <hyperlink ref="X118" r:id="rId323" xr:uid="{01B86E89-F8F9-4C76-809F-91ADBAAFFCBE}"/>
    <hyperlink ref="X119" r:id="rId324" xr:uid="{DE3E833D-86F6-4742-AAC0-B4C0F48470C5}"/>
    <hyperlink ref="X120" r:id="rId325" xr:uid="{46DB55A8-6FD3-47A7-B156-2238F8068427}"/>
    <hyperlink ref="X121" r:id="rId326" xr:uid="{6D2F627C-EC20-4330-9FAB-623A0DCF1384}"/>
    <hyperlink ref="X122" r:id="rId327" xr:uid="{03C6CF3B-78CE-47DE-BE67-26C4F9A0DFDC}"/>
    <hyperlink ref="X123" r:id="rId328" xr:uid="{1D4E7528-813B-43EC-A845-83E2803CB28D}"/>
    <hyperlink ref="X124" r:id="rId329" xr:uid="{6B67B206-B181-4032-A56D-C2B42CFE3815}"/>
    <hyperlink ref="X125" r:id="rId330" xr:uid="{C6AF969E-650E-4305-9D33-67CABD00DD1D}"/>
    <hyperlink ref="X126" r:id="rId331" xr:uid="{0389B902-89A3-4ADF-AC13-7069FEB59584}"/>
    <hyperlink ref="X127" r:id="rId332" xr:uid="{0CDC623D-7112-4CE9-8711-DDB52331CBF6}"/>
    <hyperlink ref="X128" r:id="rId333" xr:uid="{83CE512E-D904-42BC-B696-90E4A0FFA9DA}"/>
    <hyperlink ref="X129" r:id="rId334" xr:uid="{D7C24838-C0E8-436D-85B6-AF0BB8405124}"/>
    <hyperlink ref="X132" r:id="rId335" xr:uid="{794EBD40-A3AF-4988-9DFE-25E48C429389}"/>
    <hyperlink ref="X133" r:id="rId336" xr:uid="{8167A44B-C217-4936-AD7E-BCB3AEA53B52}"/>
    <hyperlink ref="X134" r:id="rId337" xr:uid="{4EE7B188-18BB-4FDF-A192-299C5A52671D}"/>
    <hyperlink ref="X135" r:id="rId338" xr:uid="{6E6F6E4A-309F-404C-9B5C-C59D4CCE1F04}"/>
    <hyperlink ref="X137" r:id="rId339" xr:uid="{9FBBE40F-5ACA-4231-9BD9-639FF14E62EC}"/>
    <hyperlink ref="X138" r:id="rId340" xr:uid="{A6E60E63-8BB6-4218-8DF8-39F778DFED04}"/>
    <hyperlink ref="X139" r:id="rId341" xr:uid="{BE8D9272-5202-4049-8C39-91B16C99603A}"/>
    <hyperlink ref="X140" r:id="rId342" xr:uid="{F3E1901D-E59A-4867-A0C4-7D65178CBB6E}"/>
    <hyperlink ref="X141" r:id="rId343" xr:uid="{07260E88-6B00-4247-893C-7CC177B6DAA5}"/>
    <hyperlink ref="X142" r:id="rId344" xr:uid="{F5EA7522-EC5B-4B17-BEDD-0C073FF5D742}"/>
    <hyperlink ref="X143" r:id="rId345" xr:uid="{4039401A-1D40-4AC4-9938-0A2E1B5BE756}"/>
    <hyperlink ref="X144" r:id="rId346" xr:uid="{0E318042-B334-44F1-AE42-C5C94FA9DF38}"/>
    <hyperlink ref="X145" r:id="rId347" xr:uid="{F366F83E-E01F-416E-9C8F-4B285241DF5E}"/>
    <hyperlink ref="X146" r:id="rId348" xr:uid="{D749530D-ED33-4B13-B5F7-94AD2B2FD535}"/>
    <hyperlink ref="X148" r:id="rId349" xr:uid="{9C73CBBE-D8E2-4EAB-B78C-9976D2FF9F50}"/>
    <hyperlink ref="X149" r:id="rId350" xr:uid="{7C79C73D-9239-4360-9327-D0586A45FDF3}"/>
    <hyperlink ref="X150" r:id="rId351" xr:uid="{AEA5764C-0586-41AC-B917-01F120AF2DD1}"/>
    <hyperlink ref="X151" r:id="rId352" xr:uid="{22E40E26-A221-41F1-A26A-E38A19B5B862}"/>
    <hyperlink ref="X152" r:id="rId353" xr:uid="{E1B0B074-3C10-454A-8F5C-0358BD3DE11A}"/>
    <hyperlink ref="X154" r:id="rId354" xr:uid="{119EB2E5-9FE7-4AF2-89B3-0F5727DA9DA4}"/>
    <hyperlink ref="X155" r:id="rId355" xr:uid="{BA432612-E0BA-46BC-8DC2-34C4703B1C1A}"/>
    <hyperlink ref="X156" r:id="rId356" xr:uid="{D0ABE40A-573F-42CF-91F3-29FA1BA97229}"/>
    <hyperlink ref="X157" r:id="rId357" xr:uid="{162A6EAC-7F64-4B50-BEE1-1F40E7BA379E}"/>
    <hyperlink ref="X158" r:id="rId358" xr:uid="{E16DD632-53C6-4E1D-B123-4863AF949DA5}"/>
    <hyperlink ref="X159" r:id="rId359" xr:uid="{02F8CF6A-232E-4343-9A34-EE2EFBD5BC35}"/>
    <hyperlink ref="X160" r:id="rId360" xr:uid="{9C8708AD-3B1D-48AF-A553-A3A2113916A6}"/>
    <hyperlink ref="X161" r:id="rId361" xr:uid="{5E586B10-DECD-4A93-AFE9-2DC7274A435C}"/>
    <hyperlink ref="X162" r:id="rId362" xr:uid="{F5996F69-0174-4FC3-B49F-ECCA4DF0BC2B}"/>
    <hyperlink ref="X163" r:id="rId363" xr:uid="{95F00865-3747-4953-896E-1620E6173DF1}"/>
    <hyperlink ref="X164" r:id="rId364" xr:uid="{0D493159-9931-4CCC-9874-83B6032BD556}"/>
    <hyperlink ref="X165" r:id="rId365" xr:uid="{E2550D99-F377-4FBF-AEA8-D3C090CA9C79}"/>
    <hyperlink ref="X167" r:id="rId366" xr:uid="{DF9FBE40-F3A9-4A80-8E55-61CD438003D8}"/>
    <hyperlink ref="X170" r:id="rId367" xr:uid="{50AA3210-3ED3-46EE-9CCD-7EE4789E2606}"/>
    <hyperlink ref="X171" r:id="rId368" xr:uid="{8EFE1AE9-C29B-4A78-B925-6351ED50D10B}"/>
    <hyperlink ref="X172" r:id="rId369" xr:uid="{5EA98CF0-1AD7-4E9D-9ED0-16B85650E4B6}"/>
    <hyperlink ref="X173" r:id="rId370" xr:uid="{CF7C8BCD-D16A-48DF-B1A2-C1C128A6A839}"/>
    <hyperlink ref="X174" r:id="rId371" xr:uid="{03734ABD-530D-484F-99B3-95EA668474EF}"/>
    <hyperlink ref="X176" r:id="rId372" xr:uid="{F1F5DA28-D797-41D3-BD52-3362322494E1}"/>
    <hyperlink ref="X177" r:id="rId373" xr:uid="{08F4FB21-1755-4C3F-B31A-94BFAED6A25B}"/>
    <hyperlink ref="X178" r:id="rId374" xr:uid="{AEB86476-A999-4A6C-A5E9-32BD59A163C4}"/>
    <hyperlink ref="X179" r:id="rId375" xr:uid="{52ED9EEE-277F-462D-A832-0D3B4623717F}"/>
    <hyperlink ref="X180" r:id="rId376" xr:uid="{E70C4994-EECC-42DC-80B3-89AF8C45D62C}"/>
    <hyperlink ref="X181" r:id="rId377" xr:uid="{D29D1884-B1B8-4B03-82E3-15DB3E3F7FB2}"/>
    <hyperlink ref="X182" r:id="rId378" xr:uid="{722BE423-1DEF-441E-B44E-76F36E613B41}"/>
    <hyperlink ref="X183" r:id="rId379" xr:uid="{9304A3C4-AF3C-4018-B41A-22D3D7518A8A}"/>
    <hyperlink ref="X185" r:id="rId380" xr:uid="{E6479BFF-DCBE-4743-9320-918C128930E9}"/>
    <hyperlink ref="X186" r:id="rId381" xr:uid="{732D5B3E-2F25-4FB9-ACE6-A5B2F9A38D82}"/>
    <hyperlink ref="X187" r:id="rId382" xr:uid="{89FFE836-0654-4F80-BDBD-DE9AB82BFA0D}"/>
    <hyperlink ref="X188" r:id="rId383" xr:uid="{8EC05756-73D6-4FF0-8C62-2D0FC49E4653}"/>
    <hyperlink ref="X189" r:id="rId384" xr:uid="{22BBFBEF-B545-4008-AEF0-41F06CDFD5A8}"/>
    <hyperlink ref="X190" r:id="rId385" xr:uid="{DEE6EA98-5C6F-4112-8DEA-9CE1B14DC001}"/>
    <hyperlink ref="X191" r:id="rId386" xr:uid="{27E57715-16A9-4889-B89C-9DB00F7190D6}"/>
    <hyperlink ref="X192" r:id="rId387" xr:uid="{4A7A3008-2AEA-478D-AD57-9DB0916FD5DD}"/>
    <hyperlink ref="X194" r:id="rId388" xr:uid="{C7EA1591-AE95-4590-9360-C0795E9FCA92}"/>
    <hyperlink ref="X196" r:id="rId389" xr:uid="{BA606ABF-D043-4401-A6AB-DFA7854DC325}"/>
    <hyperlink ref="X197" r:id="rId390" xr:uid="{60182DA8-1646-4EEF-A263-978D26DB7FFA}"/>
    <hyperlink ref="X198" r:id="rId391" xr:uid="{97A8B10C-D2AD-4157-AF6D-948D9062550C}"/>
    <hyperlink ref="X199" r:id="rId392" xr:uid="{8DA23D54-DB11-4C44-8FEF-B93CFF84E72C}"/>
    <hyperlink ref="X200" r:id="rId393" xr:uid="{D4CA1F28-96A5-4D79-8B31-49F23CACBCDB}"/>
    <hyperlink ref="X201" r:id="rId394" xr:uid="{A90EE519-71D9-45FE-9FFE-DD07372C4167}"/>
    <hyperlink ref="X202" r:id="rId395" xr:uid="{06E60384-B041-40A6-A308-F2546EBFF722}"/>
    <hyperlink ref="X203" r:id="rId396" xr:uid="{70FE44EF-2086-4390-B78D-5D46E9313622}"/>
    <hyperlink ref="X204" r:id="rId397" xr:uid="{DD6EAB35-A089-42E5-8C56-320FA4E8C51E}"/>
    <hyperlink ref="X206" r:id="rId398" xr:uid="{3E07DEF3-D09C-4BDC-8620-1A4E44728AB0}"/>
    <hyperlink ref="X207" r:id="rId399" xr:uid="{3F4429D6-6F89-414F-BDD5-00F12195B98F}"/>
    <hyperlink ref="X205" r:id="rId400" xr:uid="{22A255A4-D85C-4E26-AACB-14067A9F08A3}"/>
    <hyperlink ref="X208" r:id="rId401" xr:uid="{335F2D10-6D53-4DB2-A2EC-1D164C542132}"/>
    <hyperlink ref="X209" r:id="rId402" xr:uid="{E3B010D1-FFC9-4980-BF6C-7FB045AB2B50}"/>
    <hyperlink ref="X210" r:id="rId403" xr:uid="{48AFC574-8DFE-42EA-9FEF-27FB934C1766}"/>
    <hyperlink ref="X211" r:id="rId404" xr:uid="{A06D9918-7C6D-4871-8F25-EAC1E8B010DD}"/>
    <hyperlink ref="X212" r:id="rId405" xr:uid="{A8B8F9E8-9A26-45EE-8C2B-0F7D242DDB15}"/>
    <hyperlink ref="X213" r:id="rId406" xr:uid="{9813A446-3675-4B42-90B8-5E686E19AD6B}"/>
    <hyperlink ref="X214" r:id="rId407" xr:uid="{969B668E-1FA1-47CD-B808-906A1E849822}"/>
    <hyperlink ref="X215" r:id="rId408" xr:uid="{309174BC-BFEE-4DB5-B00D-F88CFB3C4ED6}"/>
    <hyperlink ref="X216" r:id="rId409" xr:uid="{77EF9CCA-75EE-4517-A8C4-02A0556009D4}"/>
    <hyperlink ref="X217" r:id="rId410" xr:uid="{22B94E84-76A9-4CD7-88A0-D33CF3E27177}"/>
    <hyperlink ref="X218" r:id="rId411" xr:uid="{94197552-6665-4637-9E34-B2ED0F03A486}"/>
    <hyperlink ref="X219" r:id="rId412" xr:uid="{15C18F03-53DB-4018-B6E3-2DEC5CB3C1CA}"/>
    <hyperlink ref="X220" r:id="rId413" xr:uid="{8FE5C6E6-5A20-44E4-BE87-A21252C950DB}"/>
    <hyperlink ref="X221" r:id="rId414" xr:uid="{72CA40DE-1EED-4531-9991-A4EBE4B6EC99}"/>
    <hyperlink ref="X222" r:id="rId415" xr:uid="{939AB4F8-4CA9-4E76-928C-EE5F1C8057EB}"/>
    <hyperlink ref="X223" r:id="rId416" xr:uid="{57036A33-D7CC-4E47-8BDA-08B74664C0B5}"/>
    <hyperlink ref="X224" r:id="rId417" xr:uid="{5B257C0D-CE3E-4ECA-A0AD-2CC270CF6C70}"/>
    <hyperlink ref="X225" r:id="rId418" xr:uid="{F696D01F-823F-4289-9A32-9D7F601370FD}"/>
    <hyperlink ref="X226" r:id="rId419" xr:uid="{1A79D8B4-3684-4597-8A2F-423AA8502E68}"/>
    <hyperlink ref="X228" r:id="rId420" xr:uid="{65CFD3C4-7140-4CFF-A868-DFF991290DDB}"/>
    <hyperlink ref="X229" r:id="rId421" xr:uid="{27C5E8D0-7DB7-42E6-86B2-CDF05D96683D}"/>
    <hyperlink ref="X230" r:id="rId422" xr:uid="{FDB6A1A7-8541-4822-90E2-489A7526E86B}"/>
    <hyperlink ref="X231" r:id="rId423" xr:uid="{AF5D871B-F0B9-446E-BF4B-C0698E7D85DE}"/>
    <hyperlink ref="X232" r:id="rId424" xr:uid="{7297C13C-C388-4068-A9CE-AF893CFA23F5}"/>
    <hyperlink ref="X233" r:id="rId425" xr:uid="{B1156FDD-AE48-4C63-8D41-54B296238FBC}"/>
    <hyperlink ref="X234" r:id="rId426" xr:uid="{DF6D5B21-D2EA-4918-8B6C-CAE8A4F8ED49}"/>
    <hyperlink ref="X235" r:id="rId427" xr:uid="{94CD53B1-00D3-433E-AF44-C8045A330370}"/>
    <hyperlink ref="X236" r:id="rId428" xr:uid="{4AE0AB6F-1B91-45EC-8A6F-EC58984D02FF}"/>
    <hyperlink ref="X238" r:id="rId429" xr:uid="{36314206-A816-422D-8937-52EF04259A4C}"/>
    <hyperlink ref="X239" r:id="rId430" xr:uid="{271B7F25-C336-40D7-901F-6E961538AC16}"/>
    <hyperlink ref="X241" r:id="rId431" xr:uid="{311D6DCF-05C7-4DB6-91C0-B6C042EB7077}"/>
    <hyperlink ref="X242" r:id="rId432" xr:uid="{8711851D-FA6D-486E-BDEF-46AFF8586B5B}"/>
    <hyperlink ref="X243" r:id="rId433" xr:uid="{A5176F3A-1741-470E-8101-BBD5BF3080D6}"/>
    <hyperlink ref="X244" r:id="rId434" xr:uid="{6D0D3EA1-37D8-4C66-9E35-8B238208423E}"/>
    <hyperlink ref="X246" r:id="rId435" xr:uid="{FE6FC6D3-9B6D-4D83-966F-527ADAAA9070}"/>
    <hyperlink ref="X247" r:id="rId436" xr:uid="{E94C592A-BCC9-4F12-85DC-31AE0F264386}"/>
    <hyperlink ref="X248" r:id="rId437" xr:uid="{FC7734BE-D817-4111-89B7-5ADCCD054E6B}"/>
    <hyperlink ref="X249" r:id="rId438" xr:uid="{2590CC90-AAB7-4C39-9FFB-81792B8BD655}"/>
    <hyperlink ref="X251" r:id="rId439" xr:uid="{872D5D5B-BF81-467A-AB96-9D076F015E86}"/>
    <hyperlink ref="X252" r:id="rId440" xr:uid="{DC5B43DA-2A17-4DE6-A4BB-F6D8335823D6}"/>
    <hyperlink ref="X253" r:id="rId441" xr:uid="{A1347F4F-8792-4634-B284-94C6DDE9A013}"/>
    <hyperlink ref="X255" r:id="rId442" xr:uid="{400E8DA2-5659-4AFD-87D7-F00E384CB201}"/>
    <hyperlink ref="X256" r:id="rId443" xr:uid="{A92B97A6-64E0-4FE6-9961-D12DEEBBC059}"/>
    <hyperlink ref="X257" r:id="rId444" xr:uid="{8DF0EE7B-5CD4-4245-8550-2BF29937E9B1}"/>
    <hyperlink ref="X258" r:id="rId445" xr:uid="{B2A77B73-617D-4568-915F-293911FD2C9B}"/>
    <hyperlink ref="X259" r:id="rId446" xr:uid="{3A778188-E7FE-4625-BBB6-DDB3F569A6C8}"/>
    <hyperlink ref="X260" r:id="rId447" xr:uid="{5E0D8C50-3616-4089-BE98-38DFB761D80F}"/>
    <hyperlink ref="X261" r:id="rId448" xr:uid="{B96718AB-F9A8-4D77-AB76-25116A7F8691}"/>
    <hyperlink ref="X262" r:id="rId449" xr:uid="{5DC50DDB-704D-4EC8-B430-4759049E245A}"/>
    <hyperlink ref="X263" r:id="rId450" xr:uid="{3040E2EB-D44C-4D7D-A559-92FEAB3816CD}"/>
    <hyperlink ref="X264" r:id="rId451" xr:uid="{845DA892-C7D0-4F69-B9A3-9D58ECF6E49A}"/>
    <hyperlink ref="X265" r:id="rId452" xr:uid="{D8BD196F-BFA9-4DCB-B54F-99A7877CC98F}"/>
    <hyperlink ref="X266" r:id="rId453" xr:uid="{9DDF3E13-F9A6-4A96-BD30-22E4A293FB74}"/>
    <hyperlink ref="X267" r:id="rId454" xr:uid="{4A22C63B-0ED4-461C-9E22-B3B746282CCF}"/>
    <hyperlink ref="X268" r:id="rId455" xr:uid="{1558124B-CFD2-4A3F-9342-24A728881906}"/>
    <hyperlink ref="X270" r:id="rId456" xr:uid="{4C0CC25F-3E62-4587-8EE2-4C981D2C6705}"/>
    <hyperlink ref="X271" r:id="rId457" xr:uid="{7C223700-EBA2-42DC-8E72-F29A2430CA9B}"/>
    <hyperlink ref="X274" r:id="rId458" xr:uid="{8A5063F0-3DCD-403B-B19B-B7CCE0AA88AB}"/>
    <hyperlink ref="X275" r:id="rId459" xr:uid="{782325D2-103B-4FE9-8A12-653E435A55FE}"/>
    <hyperlink ref="X276" r:id="rId460" xr:uid="{72F9CEFA-9849-4E0B-AAC4-2506468C62B8}"/>
    <hyperlink ref="X277" r:id="rId461" xr:uid="{E384AE36-49C5-4DC0-8DC3-6AE0B9F6A1E8}"/>
    <hyperlink ref="N65" r:id="rId462" xr:uid="{29B4A1DA-0F46-44C2-8597-1FF071E65126}"/>
    <hyperlink ref="X65" r:id="rId463" xr:uid="{CD523CB8-096A-48B0-ABC1-2ECB6C57593B}"/>
    <hyperlink ref="N85" r:id="rId464" xr:uid="{0CDAEA8C-3B6B-47D4-9AAA-A0E25AAB4135}"/>
    <hyperlink ref="X85" r:id="rId465" xr:uid="{47245191-CB73-4016-9767-A08C15CF0F3A}"/>
    <hyperlink ref="N96" r:id="rId466" xr:uid="{AF0A36ED-30A5-48EF-A518-F7514FAC9293}"/>
    <hyperlink ref="X96" r:id="rId467" xr:uid="{A8F4F028-3C7C-407B-AE75-BC209468D5AE}"/>
    <hyperlink ref="N195" r:id="rId468" xr:uid="{657475FD-5CBB-47F8-8132-72C18D0A4572}"/>
    <hyperlink ref="X195" r:id="rId469" xr:uid="{52FF2FE1-6A3E-41D6-AFFF-0F70C428C711}"/>
    <hyperlink ref="N166" r:id="rId470" xr:uid="{A9612E71-9B84-4E0F-8CF5-8D183CCEB9B5}"/>
    <hyperlink ref="X166" r:id="rId471" xr:uid="{E7D19CD7-B9F5-4D8B-8424-2F043C6478DF}"/>
    <hyperlink ref="N273" r:id="rId472" xr:uid="{A4B23DAB-C3F2-4E26-86DA-0112B57897EC}"/>
    <hyperlink ref="X273" r:id="rId473" xr:uid="{1D7958FC-DE63-4FF4-84F2-7855AE0D846E}"/>
    <hyperlink ref="X42" r:id="rId474" xr:uid="{12BBEF2D-EBD4-458B-848A-AF2AE96A6CBB}"/>
    <hyperlink ref="N42" r:id="rId475" xr:uid="{36CD9FB4-A2D6-425C-8169-0B5BA58FD52E}"/>
    <hyperlink ref="N259" r:id="rId476" xr:uid="{F820FFAB-F74D-4D8B-A337-713812C8A2FF}"/>
    <hyperlink ref="N269" r:id="rId477" xr:uid="{E0F01E0B-06DE-4701-AFD7-6C0DE5635458}"/>
    <hyperlink ref="X269" r:id="rId478" xr:uid="{83DE962D-B26B-4069-B3C6-607DE360DC7D}"/>
    <hyperlink ref="N240" r:id="rId479" xr:uid="{36C38C54-8512-4AC4-8058-934B76893E0F}"/>
    <hyperlink ref="X240" r:id="rId480" xr:uid="{84672B5A-28ED-4710-8C74-B39DA9EBC0F9}"/>
    <hyperlink ref="N245" r:id="rId481" xr:uid="{344C3DDF-40FA-4C88-BD0D-28156BF90E0A}"/>
    <hyperlink ref="X245" r:id="rId482" xr:uid="{BCCDD306-98B4-41F2-994F-A144CD0A83E7}"/>
    <hyperlink ref="N272" r:id="rId483" xr:uid="{4E0DE9C2-6945-4F0C-96C8-23776A6061B4}"/>
    <hyperlink ref="X272" r:id="rId484" xr:uid="{36388D18-C931-414B-85C9-2A7A0F74083E}"/>
    <hyperlink ref="N254" r:id="rId485" xr:uid="{56ABE990-38E7-47C3-AA53-D5D0AE5D656E}"/>
    <hyperlink ref="X254" r:id="rId486" xr:uid="{1C809C19-F844-41B9-B230-C343E2FFEF5A}"/>
    <hyperlink ref="N227" r:id="rId487" xr:uid="{D488468C-A4FE-40DA-8B4D-7E798F7B669A}"/>
    <hyperlink ref="X227" r:id="rId488" xr:uid="{841ACC66-3A5D-4C60-8275-A701E4442638}"/>
    <hyperlink ref="N237" r:id="rId489" xr:uid="{8FA9F773-3F23-4BB7-9740-F2FCD587FE8C}"/>
    <hyperlink ref="X237" r:id="rId490" xr:uid="{40F39040-1925-4E3C-9F73-54B1D2353AC6}"/>
    <hyperlink ref="N193" r:id="rId491" xr:uid="{37CB530D-B63E-40D9-801A-6A3BD8E9E967}"/>
    <hyperlink ref="X193" r:id="rId492" xr:uid="{EB7E3576-E485-4899-8E70-93D338A1FDB4}"/>
    <hyperlink ref="N136" r:id="rId493" xr:uid="{2B9CA3D2-109D-4FB5-9E76-F5F0F070D6EE}"/>
    <hyperlink ref="N99" r:id="rId494" xr:uid="{B49BCCCB-E78B-404D-868F-A62450F10EDC}"/>
    <hyperlink ref="X99" r:id="rId495" xr:uid="{171E9A94-3C9B-4A99-8039-D829C70880AA}"/>
    <hyperlink ref="X136" r:id="rId496" xr:uid="{7D79E03C-4C3F-4989-A943-C70D895B6D88}"/>
    <hyperlink ref="N23" r:id="rId497" xr:uid="{C4F7E0B1-956A-4558-AAE3-8EFC90CA75C3}"/>
    <hyperlink ref="X23" r:id="rId498" xr:uid="{0FD80152-2B97-4166-BECA-E892938852DE}"/>
    <hyperlink ref="N95" r:id="rId499" xr:uid="{72DC1B2E-8009-4003-BFD4-C2A064A42CFA}"/>
    <hyperlink ref="X95" r:id="rId500" xr:uid="{B9D3DBC7-1AC2-4AA3-8E85-C4959B632F71}"/>
    <hyperlink ref="N130" r:id="rId501" xr:uid="{2FD47015-B9EE-4964-930C-46501EC3B093}"/>
    <hyperlink ref="X130" r:id="rId502" xr:uid="{DAA61A67-9507-454E-98C4-4EAEE7A71983}"/>
    <hyperlink ref="N250" r:id="rId503" xr:uid="{50558432-D0AE-423A-9557-0A3046F9434A}"/>
    <hyperlink ref="X250" r:id="rId504" xr:uid="{56023793-35BC-49D7-B674-500977D80FC9}"/>
    <hyperlink ref="N25" r:id="rId505" xr:uid="{F6A47E82-0674-4F55-B1A0-DCE80E6CC508}"/>
    <hyperlink ref="X25" r:id="rId506" xr:uid="{3F3273D8-D51E-40A7-A3AC-D4CC6893FEF7}"/>
    <hyperlink ref="X184" r:id="rId507" xr:uid="{6D6E5645-B9A3-479C-9897-CDE6FC73704F}"/>
    <hyperlink ref="X153" r:id="rId508" xr:uid="{38FABE21-1CED-4812-B213-A8ED483B4908}"/>
    <hyperlink ref="N39" r:id="rId509" xr:uid="{F4240529-C07B-4AFC-B9E7-AC6A8CE2F4E7}"/>
    <hyperlink ref="X39" r:id="rId510" xr:uid="{592FB246-341F-406F-9AD8-FC0F49FB12A9}"/>
    <hyperlink ref="N108" r:id="rId511" xr:uid="{5C9F8402-B0CB-4736-87F1-5DCFE2B5EA00}"/>
    <hyperlink ref="X108" r:id="rId512" xr:uid="{B0F1A22B-6716-4D36-B56C-DA55CD3344B5}"/>
    <hyperlink ref="N175" r:id="rId513" xr:uid="{625BD3FD-64AE-4A8A-BC2C-AEBC06690CFD}"/>
    <hyperlink ref="X175" r:id="rId514" xr:uid="{FB8002B2-E30C-400A-A93C-E8FA09FA32E2}"/>
    <hyperlink ref="N169" r:id="rId515" xr:uid="{FF89A059-C60D-48BD-9FE0-994F41C29609}"/>
    <hyperlink ref="X169" r:id="rId516" xr:uid="{3558A4B5-8007-4FA9-951F-09CDF2595222}"/>
    <hyperlink ref="N168" r:id="rId517" xr:uid="{88DDD3B4-9BFE-4191-8CFA-632A9B1385F0}"/>
    <hyperlink ref="X168" r:id="rId518" xr:uid="{F92E118F-0D38-40DC-A45B-E54B537C887D}"/>
    <hyperlink ref="N131" r:id="rId519" xr:uid="{AF7EEA6A-78FF-4BA2-AEFF-E43A1514100C}"/>
    <hyperlink ref="X131" r:id="rId520" xr:uid="{183B4276-D9B3-475E-80B3-1CD281BC50FC}"/>
    <hyperlink ref="N35" r:id="rId521" xr:uid="{EE36EDBC-4A3D-4DE1-9597-A48090B63091}"/>
    <hyperlink ref="X35" r:id="rId522" xr:uid="{5F8F98C5-1896-4A69-B8FB-D487BF7057C0}"/>
    <hyperlink ref="N77" r:id="rId523" xr:uid="{B2DC8A25-A39D-47B4-BFD1-C40842824E91}"/>
    <hyperlink ref="X77" r:id="rId524" xr:uid="{38A40637-A6B9-40CD-A03F-51C2D8325267}"/>
    <hyperlink ref="N147" r:id="rId525" xr:uid="{C4158F79-471F-461F-882F-0E83E050B219}"/>
    <hyperlink ref="X147" r:id="rId526" xr:uid="{7B5C7F74-C47D-46CB-BCFE-52FDE1C6DE33}"/>
    <hyperlink ref="N205" r:id="rId527" xr:uid="{A570D02B-8E61-4304-981A-ABD91D884D41}"/>
    <hyperlink ref="N116" r:id="rId528" xr:uid="{FC94D802-A92B-4583-B21D-8E0DA4584043}"/>
    <hyperlink ref="X116" r:id="rId529" xr:uid="{214B6980-92E4-48BA-8F50-BA4536E83AFE}"/>
  </hyperlinks>
  <pageMargins left="0.70866141732283472" right="0.31496062992125984" top="0.74803149606299213" bottom="0.74803149606299213" header="0.31496062992125984" footer="0.31496062992125984"/>
  <pageSetup paperSize="8" scale="24" fitToHeight="0" orientation="landscape" r:id="rId530"/>
  <ignoredErrors>
    <ignoredError sqref="AB13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0ac7ce-5f57-4ea0-9af7-01d4f3f1ccae" xsi:nil="true"/>
    <lcf76f155ced4ddcb4097134ff3c332f xmlns="46fa4376-edb0-421c-a59b-151ca32bc31b">
      <Terms xmlns="http://schemas.microsoft.com/office/infopath/2007/PartnerControls"/>
    </lcf76f155ced4ddcb4097134ff3c332f>
    <Notes0 xmlns="46fa4376-edb0-421c-a59b-151ca32bc3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2B8AD18A1471439E620A0A6FE0FF7C" ma:contentTypeVersion="17" ma:contentTypeDescription="Create a new document." ma:contentTypeScope="" ma:versionID="aab29941f077d81161b980a889e9c95b">
  <xsd:schema xmlns:xsd="http://www.w3.org/2001/XMLSchema" xmlns:xs="http://www.w3.org/2001/XMLSchema" xmlns:p="http://schemas.microsoft.com/office/2006/metadata/properties" xmlns:ns2="46fa4376-edb0-421c-a59b-151ca32bc31b" xmlns:ns3="c0b8d6b1-ba38-48d0-8e9f-e765f95454f9" xmlns:ns4="9f0ac7ce-5f57-4ea0-9af7-01d4f3f1ccae" targetNamespace="http://schemas.microsoft.com/office/2006/metadata/properties" ma:root="true" ma:fieldsID="8344d6fd858d5d9de0160eb68e853c0c" ns2:_="" ns3:_="" ns4:_="">
    <xsd:import namespace="46fa4376-edb0-421c-a59b-151ca32bc31b"/>
    <xsd:import namespace="c0b8d6b1-ba38-48d0-8e9f-e765f95454f9"/>
    <xsd:import namespace="9f0ac7ce-5f57-4ea0-9af7-01d4f3f1c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Notes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376-edb0-421c-a59b-151ca32bc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0" nillable="true" ma:displayName="Notes" ma:internalName="Notes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8d6b1-ba38-48d0-8e9f-e765f9545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c7ce-5f57-4ea0-9af7-01d4f3f1ccae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e2bcb2e-3b27-46d2-b01b-19ec933f4a02}" ma:internalName="TaxCatchAll" ma:showField="CatchAllData" ma:web="c0b8d6b1-ba38-48d0-8e9f-e765f9545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B40F3E-5A35-4E41-AEF0-B6FDE359BB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BA86D5-BADF-4465-A9EC-2AA6E0EC4932}">
  <ds:schemaRefs>
    <ds:schemaRef ds:uri="http://schemas.microsoft.com/office/2006/metadata/properties"/>
    <ds:schemaRef ds:uri="1af91f1e-8341-4df5-bd68-5aae722b60fd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bac7e93-fa67-4d60-a7fd-1c3f73ab8762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778C93-37DA-4C64-99BF-9578CD4CF8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Scheme Review Report (Apr 2023)</vt:lpstr>
      <vt:lpstr>'Scheme Review Report (Apr 2023)'!Print_Area</vt:lpstr>
      <vt:lpstr>'Scheme Review Report (Apr 2023)'!Print_Titles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Media Hakim</dc:creator>
  <cp:keywords/>
  <dc:description/>
  <cp:lastModifiedBy>Jillian Hopkins</cp:lastModifiedBy>
  <cp:revision/>
  <dcterms:created xsi:type="dcterms:W3CDTF">2020-12-09T05:30:48Z</dcterms:created>
  <dcterms:modified xsi:type="dcterms:W3CDTF">2023-04-11T02:23:06Z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0x010100A22B8AD18A1471439E620A0A6FE0FF7C</vt:lpwstr>
  </property>
  <property fmtid="{D5CDD505-2E9C-101B-9397-08002B2CF9AE}" pid="3" name="MediaServiceImageTags">
    <vt:lpwstr/>
  </property>
</Properties>
</file>